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mdi.sharepoint.com/sites/funkhemteamet_Fag/Delte dokumenter/General/Rutiner/Kostnadsberegning/"/>
    </mc:Choice>
  </mc:AlternateContent>
  <xr:revisionPtr revIDLastSave="85" documentId="8_{4613EE0C-EF2C-468D-A814-2A75CC458F8C}" xr6:coauthVersionLast="47" xr6:coauthVersionMax="47" xr10:uidLastSave="{61974A9D-1F7A-42F5-826A-E6F009CBF0F3}"/>
  <bookViews>
    <workbookView xWindow="-28920" yWindow="-120" windowWidth="29040" windowHeight="15720" tabRatio="801" xr2:uid="{6AEEFD73-1B99-4AFD-8923-AE5939DB6547}"/>
  </bookViews>
  <sheets>
    <sheet name="Veileder" sheetId="36" r:id="rId1"/>
    <sheet name="Begrepsliste" sheetId="37" r:id="rId2"/>
    <sheet name="Lønn uten undervisningstid" sheetId="32" r:id="rId3"/>
    <sheet name="Lønn med undervisningstid" sheetId="21" r:id="rId4"/>
    <sheet name="Barnevernstiltak" sheetId="24" r:id="rId5"/>
    <sheet name="Ansvarsgruppemøter" sheetId="10" r:id="rId6"/>
    <sheet name="Tolk" sheetId="38" r:id="rId7"/>
    <sheet name="Transport" sheetId="29" r:id="rId8"/>
    <sheet name="Innstillinger" sheetId="26" state="hidden" r:id="rId9"/>
  </sheets>
  <definedNames>
    <definedName name="AGA">Innstillinger!#REF!</definedName>
    <definedName name="Beredskapshjem">Innstillinger!$D$23:$D$28</definedName>
    <definedName name="Før2022">Innstillinger!$E$23:$E$28</definedName>
    <definedName name="Grunnstøtte">Innstillinger!$C$31:$C$36</definedName>
    <definedName name="Institusjon">Innstillinger!$C$23:$C$28</definedName>
    <definedName name="Område">Innstillinger!$B$8:$B$10</definedName>
    <definedName name="Sone">Innstillinger!#REF!</definedName>
    <definedName name="Trinn">Innstillinger!#REF!</definedName>
    <definedName name="Årsramme">Innstillinger!#REF!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8" i="21" l="1"/>
  <c r="P214" i="21"/>
  <c r="O214" i="21"/>
  <c r="N214" i="21"/>
  <c r="M214" i="21"/>
  <c r="F214" i="21"/>
  <c r="O213" i="21"/>
  <c r="F213" i="21" s="1"/>
  <c r="N213" i="21"/>
  <c r="O211" i="21"/>
  <c r="F211" i="21" s="1"/>
  <c r="N210" i="21"/>
  <c r="O210" i="21" s="1"/>
  <c r="F210" i="21" s="1"/>
  <c r="P209" i="21"/>
  <c r="O209" i="21"/>
  <c r="N209" i="21"/>
  <c r="F209" i="21"/>
  <c r="O208" i="21"/>
  <c r="N208" i="21"/>
  <c r="F208" i="21"/>
  <c r="P207" i="21"/>
  <c r="O207" i="21"/>
  <c r="F205" i="21" s="1"/>
  <c r="N207" i="21"/>
  <c r="N205" i="21" s="1"/>
  <c r="N203" i="21"/>
  <c r="O203" i="21" s="1"/>
  <c r="F203" i="21" s="1"/>
  <c r="M203" i="21"/>
  <c r="O202" i="21"/>
  <c r="F202" i="21" s="1"/>
  <c r="N202" i="21"/>
  <c r="N201" i="21"/>
  <c r="O201" i="21" s="1"/>
  <c r="F201" i="21" s="1"/>
  <c r="O199" i="21"/>
  <c r="N199" i="21"/>
  <c r="F199" i="21"/>
  <c r="O198" i="21"/>
  <c r="F198" i="21" s="1"/>
  <c r="N198" i="21"/>
  <c r="N197" i="21"/>
  <c r="O197" i="21" s="1"/>
  <c r="F197" i="21" s="1"/>
  <c r="P168" i="21"/>
  <c r="O168" i="21"/>
  <c r="F168" i="21" s="1"/>
  <c r="N168" i="21"/>
  <c r="M168" i="21"/>
  <c r="O167" i="21"/>
  <c r="F167" i="21" s="1"/>
  <c r="N167" i="21"/>
  <c r="O165" i="21"/>
  <c r="F165" i="21"/>
  <c r="N164" i="21"/>
  <c r="O164" i="21" s="1"/>
  <c r="F164" i="21" s="1"/>
  <c r="P163" i="21"/>
  <c r="N163" i="21"/>
  <c r="O163" i="21" s="1"/>
  <c r="F163" i="21" s="1"/>
  <c r="O162" i="21"/>
  <c r="F162" i="21" s="1"/>
  <c r="N162" i="21"/>
  <c r="P161" i="21"/>
  <c r="O161" i="21"/>
  <c r="F159" i="21" s="1"/>
  <c r="N161" i="21"/>
  <c r="N159" i="21"/>
  <c r="N157" i="21"/>
  <c r="O157" i="21" s="1"/>
  <c r="F157" i="21" s="1"/>
  <c r="M157" i="21"/>
  <c r="M172" i="21" s="1"/>
  <c r="N156" i="21"/>
  <c r="O156" i="21" s="1"/>
  <c r="F156" i="21" s="1"/>
  <c r="N155" i="21"/>
  <c r="O155" i="21" s="1"/>
  <c r="F155" i="21" s="1"/>
  <c r="N153" i="21"/>
  <c r="O153" i="21" s="1"/>
  <c r="F153" i="21" s="1"/>
  <c r="O152" i="21"/>
  <c r="F152" i="21" s="1"/>
  <c r="N152" i="21"/>
  <c r="N151" i="21"/>
  <c r="O151" i="21" s="1"/>
  <c r="F151" i="21" s="1"/>
  <c r="P122" i="21"/>
  <c r="O122" i="21"/>
  <c r="F122" i="21" s="1"/>
  <c r="N122" i="21"/>
  <c r="M122" i="21"/>
  <c r="O121" i="21"/>
  <c r="F121" i="21" s="1"/>
  <c r="N121" i="21"/>
  <c r="O119" i="21"/>
  <c r="F119" i="21"/>
  <c r="O118" i="21"/>
  <c r="F118" i="21" s="1"/>
  <c r="N118" i="21"/>
  <c r="P117" i="21"/>
  <c r="O117" i="21"/>
  <c r="F117" i="21" s="1"/>
  <c r="N117" i="21"/>
  <c r="N116" i="21"/>
  <c r="O116" i="21" s="1"/>
  <c r="F116" i="21" s="1"/>
  <c r="P115" i="21"/>
  <c r="O115" i="21"/>
  <c r="F113" i="21" s="1"/>
  <c r="N115" i="21"/>
  <c r="N113" i="21" s="1"/>
  <c r="N111" i="21"/>
  <c r="O111" i="21" s="1"/>
  <c r="F111" i="21" s="1"/>
  <c r="M111" i="21"/>
  <c r="M126" i="21" s="1"/>
  <c r="N110" i="21"/>
  <c r="O110" i="21" s="1"/>
  <c r="F110" i="21" s="1"/>
  <c r="O109" i="21"/>
  <c r="N109" i="21"/>
  <c r="F109" i="21"/>
  <c r="O107" i="21"/>
  <c r="F107" i="21" s="1"/>
  <c r="N107" i="21"/>
  <c r="N106" i="21"/>
  <c r="O106" i="21" s="1"/>
  <c r="F106" i="21" s="1"/>
  <c r="N105" i="21"/>
  <c r="O105" i="21" s="1"/>
  <c r="F105" i="21" s="1"/>
  <c r="P76" i="21"/>
  <c r="O76" i="21"/>
  <c r="F76" i="21" s="1"/>
  <c r="N76" i="21"/>
  <c r="M76" i="21"/>
  <c r="O75" i="21"/>
  <c r="F75" i="21" s="1"/>
  <c r="N75" i="21"/>
  <c r="O73" i="21"/>
  <c r="F73" i="21"/>
  <c r="O72" i="21"/>
  <c r="F72" i="21" s="1"/>
  <c r="N72" i="21"/>
  <c r="P71" i="21"/>
  <c r="O71" i="21"/>
  <c r="N71" i="21"/>
  <c r="F71" i="21"/>
  <c r="N70" i="21"/>
  <c r="O70" i="21" s="1"/>
  <c r="F70" i="21" s="1"/>
  <c r="P69" i="21"/>
  <c r="N69" i="21"/>
  <c r="N67" i="21" s="1"/>
  <c r="N66" i="21"/>
  <c r="O66" i="21" s="1"/>
  <c r="F66" i="21" s="1"/>
  <c r="N65" i="21"/>
  <c r="M65" i="21"/>
  <c r="M80" i="21" s="1"/>
  <c r="N64" i="21"/>
  <c r="O64" i="21" s="1"/>
  <c r="F64" i="21" s="1"/>
  <c r="O63" i="21"/>
  <c r="F63" i="21" s="1"/>
  <c r="N63" i="21"/>
  <c r="O61" i="21"/>
  <c r="N61" i="21"/>
  <c r="F61" i="21"/>
  <c r="N60" i="21"/>
  <c r="O60" i="21" s="1"/>
  <c r="F60" i="21" s="1"/>
  <c r="N59" i="21"/>
  <c r="O59" i="21" s="1"/>
  <c r="F59" i="21" s="1"/>
  <c r="N196" i="32"/>
  <c r="N200" i="32" s="1"/>
  <c r="F195" i="32"/>
  <c r="N193" i="32"/>
  <c r="O193" i="32" s="1"/>
  <c r="F193" i="32" s="1"/>
  <c r="M193" i="32"/>
  <c r="O192" i="32"/>
  <c r="F192" i="32" s="1"/>
  <c r="N192" i="32"/>
  <c r="O191" i="32"/>
  <c r="N191" i="32"/>
  <c r="M191" i="32"/>
  <c r="F191" i="32"/>
  <c r="O189" i="32"/>
  <c r="F189" i="32"/>
  <c r="O188" i="32"/>
  <c r="F188" i="32" s="1"/>
  <c r="N188" i="32"/>
  <c r="P187" i="32"/>
  <c r="N187" i="32"/>
  <c r="O187" i="32" s="1"/>
  <c r="F187" i="32" s="1"/>
  <c r="O186" i="32"/>
  <c r="F186" i="32" s="1"/>
  <c r="N186" i="32"/>
  <c r="P185" i="32"/>
  <c r="N185" i="32"/>
  <c r="O185" i="32" s="1"/>
  <c r="F183" i="32" s="1"/>
  <c r="N183" i="32"/>
  <c r="O182" i="32"/>
  <c r="F182" i="32" s="1"/>
  <c r="N182" i="32"/>
  <c r="N181" i="32"/>
  <c r="O181" i="32" s="1"/>
  <c r="F181" i="32" s="1"/>
  <c r="N180" i="32"/>
  <c r="O180" i="32" s="1"/>
  <c r="F180" i="32" s="1"/>
  <c r="N154" i="32"/>
  <c r="N158" i="32" s="1"/>
  <c r="F153" i="32"/>
  <c r="O151" i="32"/>
  <c r="N151" i="32"/>
  <c r="M151" i="32"/>
  <c r="F151" i="32"/>
  <c r="O150" i="32"/>
  <c r="F150" i="32" s="1"/>
  <c r="N150" i="32"/>
  <c r="N149" i="32"/>
  <c r="O149" i="32" s="1"/>
  <c r="F149" i="32" s="1"/>
  <c r="M149" i="32"/>
  <c r="O147" i="32"/>
  <c r="F147" i="32"/>
  <c r="O146" i="32"/>
  <c r="N146" i="32"/>
  <c r="F146" i="32"/>
  <c r="P145" i="32"/>
  <c r="N145" i="32"/>
  <c r="O145" i="32" s="1"/>
  <c r="F145" i="32" s="1"/>
  <c r="O144" i="32"/>
  <c r="F144" i="32" s="1"/>
  <c r="N144" i="32"/>
  <c r="P143" i="32"/>
  <c r="O143" i="32"/>
  <c r="N143" i="32"/>
  <c r="N141" i="32"/>
  <c r="F141" i="32"/>
  <c r="O140" i="32"/>
  <c r="F140" i="32" s="1"/>
  <c r="N140" i="32"/>
  <c r="N139" i="32"/>
  <c r="O139" i="32" s="1"/>
  <c r="F139" i="32" s="1"/>
  <c r="N138" i="32"/>
  <c r="O138" i="32" s="1"/>
  <c r="F138" i="32" s="1"/>
  <c r="F111" i="32"/>
  <c r="N109" i="32"/>
  <c r="O109" i="32" s="1"/>
  <c r="F109" i="32" s="1"/>
  <c r="M109" i="32"/>
  <c r="N108" i="32"/>
  <c r="O108" i="32" s="1"/>
  <c r="F108" i="32" s="1"/>
  <c r="O107" i="32"/>
  <c r="N107" i="32"/>
  <c r="M107" i="32"/>
  <c r="F107" i="32"/>
  <c r="O105" i="32"/>
  <c r="F105" i="32"/>
  <c r="N104" i="32"/>
  <c r="O104" i="32" s="1"/>
  <c r="F104" i="32" s="1"/>
  <c r="P103" i="32"/>
  <c r="N103" i="32"/>
  <c r="O103" i="32" s="1"/>
  <c r="F103" i="32" s="1"/>
  <c r="N102" i="32"/>
  <c r="O102" i="32" s="1"/>
  <c r="F102" i="32" s="1"/>
  <c r="P101" i="32"/>
  <c r="N101" i="32"/>
  <c r="O101" i="32" s="1"/>
  <c r="F99" i="32" s="1"/>
  <c r="N99" i="32"/>
  <c r="N98" i="32"/>
  <c r="O98" i="32" s="1"/>
  <c r="F98" i="32" s="1"/>
  <c r="N97" i="32"/>
  <c r="O97" i="32" s="1"/>
  <c r="F97" i="32" s="1"/>
  <c r="O96" i="32"/>
  <c r="F96" i="32" s="1"/>
  <c r="N96" i="32"/>
  <c r="F69" i="32"/>
  <c r="N67" i="32"/>
  <c r="O67" i="32" s="1"/>
  <c r="F67" i="32" s="1"/>
  <c r="M67" i="32"/>
  <c r="N66" i="32"/>
  <c r="O66" i="32" s="1"/>
  <c r="F66" i="32" s="1"/>
  <c r="O65" i="32"/>
  <c r="N65" i="32"/>
  <c r="M65" i="32"/>
  <c r="F65" i="32"/>
  <c r="O63" i="32"/>
  <c r="F63" i="32"/>
  <c r="O62" i="32"/>
  <c r="F62" i="32" s="1"/>
  <c r="N62" i="32"/>
  <c r="P61" i="32"/>
  <c r="N61" i="32"/>
  <c r="O61" i="32" s="1"/>
  <c r="F61" i="32" s="1"/>
  <c r="N60" i="32"/>
  <c r="O60" i="32" s="1"/>
  <c r="F60" i="32" s="1"/>
  <c r="P59" i="32"/>
  <c r="N59" i="32"/>
  <c r="O59" i="32" s="1"/>
  <c r="F57" i="32" s="1"/>
  <c r="N57" i="32"/>
  <c r="N56" i="32"/>
  <c r="N70" i="32" s="1"/>
  <c r="N55" i="32"/>
  <c r="O55" i="32" s="1"/>
  <c r="F55" i="32" s="1"/>
  <c r="N54" i="32"/>
  <c r="O54" i="32" s="1"/>
  <c r="F54" i="32" s="1"/>
  <c r="P23" i="21"/>
  <c r="P17" i="32"/>
  <c r="J14" i="38"/>
  <c r="L14" i="38" s="1"/>
  <c r="J15" i="38"/>
  <c r="L15" i="38" s="1"/>
  <c r="J16" i="38"/>
  <c r="L16" i="38"/>
  <c r="J17" i="38"/>
  <c r="L17" i="38" s="1"/>
  <c r="J18" i="38"/>
  <c r="L18" i="38"/>
  <c r="I15" i="10"/>
  <c r="L27" i="38"/>
  <c r="L26" i="38"/>
  <c r="L25" i="38"/>
  <c r="D19" i="38"/>
  <c r="N204" i="21" l="1"/>
  <c r="O204" i="21" s="1"/>
  <c r="F204" i="21" s="1"/>
  <c r="N217" i="21"/>
  <c r="N158" i="21"/>
  <c r="O158" i="21" s="1"/>
  <c r="F158" i="21" s="1"/>
  <c r="N171" i="21"/>
  <c r="N125" i="21"/>
  <c r="N112" i="21"/>
  <c r="O112" i="21" s="1"/>
  <c r="F112" i="21" s="1"/>
  <c r="N79" i="21"/>
  <c r="O69" i="21"/>
  <c r="F67" i="21" s="1"/>
  <c r="O65" i="21"/>
  <c r="F65" i="21" s="1"/>
  <c r="E202" i="32"/>
  <c r="E201" i="32"/>
  <c r="Q201" i="32" s="1"/>
  <c r="E200" i="32"/>
  <c r="O200" i="32"/>
  <c r="F200" i="32" s="1"/>
  <c r="E203" i="32"/>
  <c r="Q203" i="32" s="1"/>
  <c r="N202" i="32"/>
  <c r="O202" i="32" s="1"/>
  <c r="F202" i="32" s="1"/>
  <c r="N201" i="32"/>
  <c r="O201" i="32" s="1"/>
  <c r="F201" i="32" s="1"/>
  <c r="O196" i="32"/>
  <c r="F196" i="32" s="1"/>
  <c r="N198" i="32"/>
  <c r="N205" i="32"/>
  <c r="O205" i="32" s="1"/>
  <c r="N197" i="32"/>
  <c r="N206" i="32"/>
  <c r="O206" i="32" s="1"/>
  <c r="E196" i="32"/>
  <c r="Q196" i="32" s="1"/>
  <c r="N203" i="32"/>
  <c r="O203" i="32" s="1"/>
  <c r="F203" i="32" s="1"/>
  <c r="E160" i="32"/>
  <c r="Q160" i="32" s="1"/>
  <c r="E161" i="32"/>
  <c r="Q161" i="32" s="1"/>
  <c r="E158" i="32"/>
  <c r="E159" i="32"/>
  <c r="Q159" i="32" s="1"/>
  <c r="O158" i="32"/>
  <c r="F158" i="32" s="1"/>
  <c r="O154" i="32"/>
  <c r="F154" i="32" s="1"/>
  <c r="N160" i="32"/>
  <c r="O160" i="32" s="1"/>
  <c r="F160" i="32" s="1"/>
  <c r="N156" i="32"/>
  <c r="N163" i="32"/>
  <c r="O163" i="32" s="1"/>
  <c r="N155" i="32"/>
  <c r="N164" i="32"/>
  <c r="O164" i="32" s="1"/>
  <c r="E154" i="32"/>
  <c r="Q154" i="32" s="1"/>
  <c r="N161" i="32"/>
  <c r="O161" i="32" s="1"/>
  <c r="F161" i="32" s="1"/>
  <c r="N159" i="32"/>
  <c r="O159" i="32" s="1"/>
  <c r="F159" i="32" s="1"/>
  <c r="N112" i="32"/>
  <c r="N77" i="32"/>
  <c r="O77" i="32" s="1"/>
  <c r="F77" i="32" s="1"/>
  <c r="E70" i="32"/>
  <c r="Q70" i="32" s="1"/>
  <c r="N79" i="32"/>
  <c r="O79" i="32" s="1"/>
  <c r="N72" i="32"/>
  <c r="N74" i="32"/>
  <c r="N80" i="32"/>
  <c r="O80" i="32" s="1"/>
  <c r="N71" i="32"/>
  <c r="O70" i="32"/>
  <c r="F70" i="32" s="1"/>
  <c r="N75" i="32"/>
  <c r="O75" i="32" s="1"/>
  <c r="F75" i="32" s="1"/>
  <c r="N76" i="32"/>
  <c r="O76" i="32" s="1"/>
  <c r="F76" i="32" s="1"/>
  <c r="O56" i="32"/>
  <c r="F56" i="32" s="1"/>
  <c r="D20" i="38"/>
  <c r="N227" i="21" l="1"/>
  <c r="O227" i="21" s="1"/>
  <c r="N222" i="21"/>
  <c r="O222" i="21" s="1"/>
  <c r="F222" i="21" s="1"/>
  <c r="N218" i="21"/>
  <c r="E217" i="21"/>
  <c r="Q217" i="21" s="1"/>
  <c r="N226" i="21"/>
  <c r="N224" i="21"/>
  <c r="O224" i="21" s="1"/>
  <c r="F224" i="21" s="1"/>
  <c r="N223" i="21"/>
  <c r="O223" i="21" s="1"/>
  <c r="F223" i="21" s="1"/>
  <c r="E218" i="21"/>
  <c r="N221" i="21"/>
  <c r="O217" i="21"/>
  <c r="F217" i="21" s="1"/>
  <c r="N178" i="21"/>
  <c r="O178" i="21" s="1"/>
  <c r="F178" i="21" s="1"/>
  <c r="N181" i="21"/>
  <c r="O181" i="21" s="1"/>
  <c r="N172" i="21"/>
  <c r="E171" i="21"/>
  <c r="Q171" i="21" s="1"/>
  <c r="N176" i="21"/>
  <c r="O176" i="21" s="1"/>
  <c r="F176" i="21" s="1"/>
  <c r="N180" i="21"/>
  <c r="N177" i="21"/>
  <c r="O177" i="21" s="1"/>
  <c r="F177" i="21" s="1"/>
  <c r="E172" i="21"/>
  <c r="N175" i="21"/>
  <c r="O171" i="21"/>
  <c r="F171" i="21" s="1"/>
  <c r="N135" i="21"/>
  <c r="O135" i="21" s="1"/>
  <c r="N130" i="21"/>
  <c r="O130" i="21" s="1"/>
  <c r="F130" i="21" s="1"/>
  <c r="N126" i="21"/>
  <c r="E125" i="21"/>
  <c r="Q125" i="21" s="1"/>
  <c r="N134" i="21"/>
  <c r="N131" i="21"/>
  <c r="O131" i="21" s="1"/>
  <c r="F131" i="21" s="1"/>
  <c r="E126" i="21"/>
  <c r="N129" i="21"/>
  <c r="O125" i="21"/>
  <c r="F125" i="21" s="1"/>
  <c r="N132" i="21"/>
  <c r="O132" i="21" s="1"/>
  <c r="F132" i="21" s="1"/>
  <c r="N86" i="21"/>
  <c r="O86" i="21" s="1"/>
  <c r="F86" i="21" s="1"/>
  <c r="N85" i="21"/>
  <c r="O85" i="21" s="1"/>
  <c r="F85" i="21" s="1"/>
  <c r="N89" i="21"/>
  <c r="O89" i="21" s="1"/>
  <c r="N84" i="21"/>
  <c r="O84" i="21" s="1"/>
  <c r="F84" i="21" s="1"/>
  <c r="N80" i="21"/>
  <c r="E79" i="21"/>
  <c r="Q79" i="21" s="1"/>
  <c r="N83" i="21"/>
  <c r="O79" i="21"/>
  <c r="F79" i="21" s="1"/>
  <c r="N88" i="21"/>
  <c r="E80" i="21"/>
  <c r="O197" i="32"/>
  <c r="F197" i="32" s="1"/>
  <c r="E197" i="32"/>
  <c r="Q197" i="32" s="1"/>
  <c r="E205" i="32"/>
  <c r="E206" i="32"/>
  <c r="Q206" i="32" s="1"/>
  <c r="E198" i="32"/>
  <c r="Q198" i="32" s="1"/>
  <c r="O198" i="32"/>
  <c r="F198" i="32" s="1"/>
  <c r="Q202" i="32"/>
  <c r="O155" i="32"/>
  <c r="F155" i="32" s="1"/>
  <c r="E155" i="32"/>
  <c r="Q155" i="32" s="1"/>
  <c r="O156" i="32"/>
  <c r="F156" i="32" s="1"/>
  <c r="E156" i="32"/>
  <c r="E164" i="32"/>
  <c r="Q164" i="32" s="1"/>
  <c r="E163" i="32"/>
  <c r="N117" i="32"/>
  <c r="O117" i="32" s="1"/>
  <c r="F117" i="32" s="1"/>
  <c r="N118" i="32"/>
  <c r="O118" i="32" s="1"/>
  <c r="F118" i="32" s="1"/>
  <c r="O112" i="32"/>
  <c r="F112" i="32" s="1"/>
  <c r="N116" i="32"/>
  <c r="N119" i="32"/>
  <c r="O119" i="32" s="1"/>
  <c r="F119" i="32" s="1"/>
  <c r="E112" i="32"/>
  <c r="Q112" i="32" s="1"/>
  <c r="N122" i="32"/>
  <c r="O122" i="32" s="1"/>
  <c r="N113" i="32"/>
  <c r="N121" i="32"/>
  <c r="O121" i="32" s="1"/>
  <c r="N114" i="32"/>
  <c r="E75" i="32"/>
  <c r="Q75" i="32" s="1"/>
  <c r="O74" i="32"/>
  <c r="F74" i="32" s="1"/>
  <c r="E76" i="32"/>
  <c r="E74" i="32"/>
  <c r="E77" i="32"/>
  <c r="O71" i="32"/>
  <c r="F71" i="32" s="1"/>
  <c r="E71" i="32"/>
  <c r="Q71" i="32" s="1"/>
  <c r="O72" i="32"/>
  <c r="F72" i="32" s="1"/>
  <c r="E72" i="32"/>
  <c r="Q72" i="32" s="1"/>
  <c r="L31" i="38"/>
  <c r="D31" i="38" s="1"/>
  <c r="O218" i="21" l="1"/>
  <c r="F218" i="21" s="1"/>
  <c r="N219" i="21"/>
  <c r="E221" i="21"/>
  <c r="E224" i="21"/>
  <c r="E222" i="21"/>
  <c r="Q222" i="21" s="1"/>
  <c r="E223" i="21"/>
  <c r="Q223" i="21" s="1"/>
  <c r="O221" i="21"/>
  <c r="F221" i="21" s="1"/>
  <c r="P218" i="21"/>
  <c r="Q218" i="21"/>
  <c r="P172" i="21"/>
  <c r="Q172" i="21"/>
  <c r="O172" i="21"/>
  <c r="F172" i="21" s="1"/>
  <c r="N173" i="21"/>
  <c r="E175" i="21"/>
  <c r="E178" i="21"/>
  <c r="E176" i="21"/>
  <c r="O175" i="21"/>
  <c r="F175" i="21" s="1"/>
  <c r="E177" i="21"/>
  <c r="O126" i="21"/>
  <c r="F126" i="21" s="1"/>
  <c r="N127" i="21"/>
  <c r="Q126" i="21"/>
  <c r="P126" i="21"/>
  <c r="E129" i="21"/>
  <c r="E132" i="21"/>
  <c r="Q132" i="21" s="1"/>
  <c r="E130" i="21"/>
  <c r="O129" i="21"/>
  <c r="F129" i="21" s="1"/>
  <c r="E131" i="21"/>
  <c r="E83" i="21"/>
  <c r="E86" i="21"/>
  <c r="O83" i="21"/>
  <c r="F83" i="21" s="1"/>
  <c r="E85" i="21"/>
  <c r="Q85" i="21" s="1"/>
  <c r="E84" i="21"/>
  <c r="Q84" i="21" s="1"/>
  <c r="O80" i="21"/>
  <c r="F80" i="21" s="1"/>
  <c r="N81" i="21"/>
  <c r="P80" i="21"/>
  <c r="Q80" i="21"/>
  <c r="Q200" i="32"/>
  <c r="Q156" i="32"/>
  <c r="Q158" i="32"/>
  <c r="E113" i="32"/>
  <c r="Q113" i="32" s="1"/>
  <c r="O113" i="32"/>
  <c r="F113" i="32" s="1"/>
  <c r="E119" i="32"/>
  <c r="Q119" i="32" s="1"/>
  <c r="E117" i="32"/>
  <c r="O116" i="32"/>
  <c r="F116" i="32" s="1"/>
  <c r="E118" i="32"/>
  <c r="E116" i="32"/>
  <c r="O114" i="32"/>
  <c r="F114" i="32" s="1"/>
  <c r="E114" i="32"/>
  <c r="Q114" i="32" s="1"/>
  <c r="Q76" i="32"/>
  <c r="Q77" i="32"/>
  <c r="E79" i="32"/>
  <c r="Q74" i="32"/>
  <c r="E80" i="32"/>
  <c r="Q80" i="32" s="1"/>
  <c r="P30" i="21"/>
  <c r="O30" i="21" s="1"/>
  <c r="N23" i="21"/>
  <c r="N21" i="21" s="1"/>
  <c r="P25" i="21"/>
  <c r="P19" i="32"/>
  <c r="D20" i="10" s="1"/>
  <c r="O27" i="21"/>
  <c r="F27" i="21" s="1"/>
  <c r="N26" i="21"/>
  <c r="N25" i="21"/>
  <c r="N24" i="21"/>
  <c r="O24" i="21" s="1"/>
  <c r="N15" i="21"/>
  <c r="O15" i="21" s="1"/>
  <c r="N14" i="21"/>
  <c r="O14" i="21" s="1"/>
  <c r="F14" i="21" s="1"/>
  <c r="N13" i="21"/>
  <c r="O13" i="21" s="1"/>
  <c r="N12" i="32"/>
  <c r="O12" i="32" s="1"/>
  <c r="F12" i="32" s="1"/>
  <c r="M23" i="32"/>
  <c r="N13" i="32"/>
  <c r="O13" i="32" s="1"/>
  <c r="N17" i="32"/>
  <c r="N15" i="32" s="1"/>
  <c r="F27" i="32"/>
  <c r="N18" i="32"/>
  <c r="N19" i="32"/>
  <c r="N20" i="32"/>
  <c r="N14" i="32"/>
  <c r="I27" i="10"/>
  <c r="L27" i="10" s="1"/>
  <c r="I28" i="10"/>
  <c r="L28" i="10" s="1"/>
  <c r="L29" i="10"/>
  <c r="L15" i="10"/>
  <c r="I16" i="10"/>
  <c r="L16" i="10" s="1"/>
  <c r="I18" i="10"/>
  <c r="L18" i="10" s="1"/>
  <c r="I19" i="10"/>
  <c r="L19" i="10" s="1"/>
  <c r="I17" i="10"/>
  <c r="L17" i="10" s="1"/>
  <c r="Q224" i="21" l="1"/>
  <c r="E226" i="21"/>
  <c r="E227" i="21" s="1"/>
  <c r="Q227" i="21" s="1"/>
  <c r="Q221" i="21"/>
  <c r="O219" i="21"/>
  <c r="F219" i="21" s="1"/>
  <c r="E219" i="21"/>
  <c r="Q219" i="21" s="1"/>
  <c r="Q177" i="21"/>
  <c r="Q176" i="21"/>
  <c r="Q178" i="21"/>
  <c r="O173" i="21"/>
  <c r="F173" i="21" s="1"/>
  <c r="E173" i="21"/>
  <c r="Q173" i="21" s="1"/>
  <c r="E180" i="21"/>
  <c r="E181" i="21" s="1"/>
  <c r="Q181" i="21" s="1"/>
  <c r="Q175" i="21"/>
  <c r="Q130" i="21"/>
  <c r="O127" i="21"/>
  <c r="F127" i="21" s="1"/>
  <c r="E127" i="21"/>
  <c r="Q127" i="21" s="1"/>
  <c r="E134" i="21"/>
  <c r="E135" i="21" s="1"/>
  <c r="Q135" i="21" s="1"/>
  <c r="Q129" i="21"/>
  <c r="Q131" i="21"/>
  <c r="O81" i="21"/>
  <c r="F81" i="21" s="1"/>
  <c r="E81" i="21"/>
  <c r="Q81" i="21" s="1"/>
  <c r="Q86" i="21"/>
  <c r="Q83" i="21"/>
  <c r="E88" i="21"/>
  <c r="E89" i="21" s="1"/>
  <c r="Q89" i="21" s="1"/>
  <c r="Q118" i="32"/>
  <c r="E122" i="32"/>
  <c r="Q122" i="32" s="1"/>
  <c r="E121" i="32"/>
  <c r="Q116" i="32"/>
  <c r="Q117" i="32"/>
  <c r="D30" i="10"/>
  <c r="O25" i="21"/>
  <c r="F25" i="21" s="1"/>
  <c r="O26" i="21"/>
  <c r="F26" i="21" s="1"/>
  <c r="F24" i="21"/>
  <c r="F13" i="32"/>
  <c r="O19" i="32"/>
  <c r="L34" i="10"/>
  <c r="D34" i="10" s="1"/>
  <c r="M25" i="32" l="1"/>
  <c r="O21" i="32"/>
  <c r="O20" i="32"/>
  <c r="O18" i="32"/>
  <c r="O29" i="21"/>
  <c r="N30" i="21"/>
  <c r="N29" i="21"/>
  <c r="M30" i="21"/>
  <c r="C19" i="26"/>
  <c r="M19" i="21" s="1"/>
  <c r="N18" i="21"/>
  <c r="O18" i="21" s="1"/>
  <c r="N17" i="21"/>
  <c r="O17" i="21" s="1"/>
  <c r="F13" i="21"/>
  <c r="F15" i="21"/>
  <c r="N20" i="21" l="1"/>
  <c r="O20" i="21" s="1"/>
  <c r="F20" i="21" s="1"/>
  <c r="N23" i="32"/>
  <c r="N24" i="32"/>
  <c r="O24" i="32" s="1"/>
  <c r="F24" i="32" s="1"/>
  <c r="N19" i="21"/>
  <c r="N33" i="21" s="1"/>
  <c r="N25" i="32"/>
  <c r="O25" i="32" s="1"/>
  <c r="F25" i="32" s="1"/>
  <c r="M34" i="21"/>
  <c r="O14" i="32"/>
  <c r="F30" i="21"/>
  <c r="F29" i="21"/>
  <c r="F18" i="21"/>
  <c r="F17" i="21"/>
  <c r="F21" i="32"/>
  <c r="N42" i="21" l="1"/>
  <c r="O33" i="21"/>
  <c r="N43" i="21"/>
  <c r="O43" i="21" s="1"/>
  <c r="N28" i="32"/>
  <c r="N34" i="32" s="1"/>
  <c r="O23" i="32"/>
  <c r="F23" i="32" s="1"/>
  <c r="O19" i="21"/>
  <c r="F19" i="21" s="1"/>
  <c r="F14" i="32"/>
  <c r="F18" i="32"/>
  <c r="N37" i="21" l="1"/>
  <c r="O37" i="21" s="1"/>
  <c r="E33" i="21"/>
  <c r="Q33" i="21" s="1"/>
  <c r="F33" i="21" s="1"/>
  <c r="N40" i="21"/>
  <c r="O40" i="21" s="1"/>
  <c r="E34" i="21"/>
  <c r="N38" i="21"/>
  <c r="O38" i="21" s="1"/>
  <c r="N39" i="21"/>
  <c r="O39" i="21" s="1"/>
  <c r="N38" i="32"/>
  <c r="N32" i="32"/>
  <c r="N33" i="32"/>
  <c r="N37" i="32"/>
  <c r="N29" i="32"/>
  <c r="E29" i="32" s="1"/>
  <c r="N30" i="32"/>
  <c r="N35" i="32"/>
  <c r="E28" i="32"/>
  <c r="Q28" i="32" s="1"/>
  <c r="N34" i="21"/>
  <c r="O34" i="21" s="1"/>
  <c r="Q34" i="21" l="1"/>
  <c r="F34" i="21" s="1"/>
  <c r="P34" i="21"/>
  <c r="E37" i="21"/>
  <c r="N35" i="21"/>
  <c r="E32" i="32"/>
  <c r="Q29" i="32"/>
  <c r="O28" i="32"/>
  <c r="F28" i="32" s="1"/>
  <c r="E30" i="32"/>
  <c r="F19" i="32"/>
  <c r="E35" i="21" l="1"/>
  <c r="Q35" i="21" s="1"/>
  <c r="O35" i="21"/>
  <c r="E38" i="21"/>
  <c r="Q32" i="32"/>
  <c r="Q30" i="32"/>
  <c r="E39" i="21"/>
  <c r="Q37" i="21"/>
  <c r="F37" i="21" s="1"/>
  <c r="E33" i="32"/>
  <c r="Q33" i="32" s="1"/>
  <c r="O30" i="32"/>
  <c r="F30" i="32" s="1"/>
  <c r="O29" i="32"/>
  <c r="F29" i="32" s="1"/>
  <c r="Q38" i="21" l="1"/>
  <c r="F38" i="21" s="1"/>
  <c r="Q39" i="21"/>
  <c r="F39" i="21" s="1"/>
  <c r="E40" i="21"/>
  <c r="F35" i="21"/>
  <c r="O23" i="21"/>
  <c r="F21" i="21" s="1"/>
  <c r="E34" i="32"/>
  <c r="E35" i="32" s="1"/>
  <c r="Q35" i="32" s="1"/>
  <c r="O32" i="32"/>
  <c r="F32" i="32" s="1"/>
  <c r="O33" i="32"/>
  <c r="F33" i="32" s="1"/>
  <c r="E42" i="21" l="1"/>
  <c r="E43" i="21" s="1"/>
  <c r="Q43" i="21" s="1"/>
  <c r="E38" i="32"/>
  <c r="Q38" i="32" s="1"/>
  <c r="O38" i="32" s="1"/>
  <c r="E37" i="32"/>
  <c r="Q40" i="21"/>
  <c r="F40" i="21" s="1"/>
  <c r="Q34" i="32"/>
  <c r="O34" i="32" s="1"/>
  <c r="F34" i="32" s="1"/>
  <c r="O35" i="32"/>
  <c r="F35" i="32" s="1"/>
  <c r="E27" i="26"/>
  <c r="E28" i="26" s="1"/>
  <c r="D27" i="26"/>
  <c r="D28" i="26" s="1"/>
  <c r="C27" i="26"/>
  <c r="C28" i="26" s="1"/>
  <c r="C35" i="26"/>
  <c r="C36" i="26" s="1"/>
  <c r="F75" i="24" a="1"/>
  <c r="F75" i="24" s="1"/>
  <c r="F74" i="24"/>
  <c r="F46" i="24" a="1"/>
  <c r="F46" i="24" s="1"/>
  <c r="F45" i="24"/>
  <c r="F44" i="24" a="1"/>
  <c r="F44" i="24" s="1"/>
  <c r="F15" i="24"/>
  <c r="F16" i="24" a="1"/>
  <c r="F16" i="24" s="1"/>
  <c r="J22" i="29" l="1"/>
  <c r="J21" i="29"/>
  <c r="J20" i="29"/>
  <c r="J19" i="29"/>
  <c r="J18" i="29"/>
  <c r="J17" i="29"/>
  <c r="J16" i="29"/>
  <c r="J15" i="29"/>
  <c r="J24" i="29" l="1"/>
  <c r="M76" i="24"/>
  <c r="M74" i="24" s="1"/>
  <c r="M17" i="24"/>
  <c r="M15" i="24" s="1"/>
  <c r="F18" i="24" s="1"/>
  <c r="L80" i="24" l="1"/>
  <c r="F77" i="24"/>
  <c r="E77" i="24"/>
  <c r="M47" i="24"/>
  <c r="M45" i="24" s="1"/>
  <c r="F48" i="24" s="1"/>
  <c r="E18" i="24"/>
  <c r="N74" i="24"/>
  <c r="M75" i="24"/>
  <c r="M77" i="24" s="1"/>
  <c r="F81" i="24" s="1"/>
  <c r="M16" i="24"/>
  <c r="M18" i="24" s="1"/>
  <c r="N15" i="24"/>
  <c r="O37" i="32" l="1"/>
  <c r="E78" i="24"/>
  <c r="E22" i="24"/>
  <c r="F22" i="24"/>
  <c r="E48" i="24" a="1"/>
  <c r="E48" i="24" s="1"/>
  <c r="N45" i="24"/>
  <c r="O15" i="24" a="1"/>
  <c r="O15" i="24" s="1"/>
  <c r="E20" i="24" s="1"/>
  <c r="D24" i="24"/>
  <c r="D20" i="24"/>
  <c r="D23" i="24"/>
  <c r="D22" i="24"/>
  <c r="D19" i="24"/>
  <c r="D18" i="24"/>
  <c r="E81" i="24"/>
  <c r="D82" i="24"/>
  <c r="D81" i="24"/>
  <c r="D78" i="24"/>
  <c r="D79" i="24"/>
  <c r="D77" i="24"/>
  <c r="D83" i="24"/>
  <c r="M46" i="24"/>
  <c r="E19" i="24"/>
  <c r="O75" i="24"/>
  <c r="E83" i="24" s="1"/>
  <c r="N75" i="24"/>
  <c r="O74" i="24" a="1"/>
  <c r="O74" i="24" s="1"/>
  <c r="E79" i="24" s="1"/>
  <c r="N16" i="24"/>
  <c r="O16" i="24"/>
  <c r="E24" i="24" s="1"/>
  <c r="E23" i="24" l="1"/>
  <c r="M48" i="24"/>
  <c r="E49" i="24"/>
  <c r="E82" i="24"/>
  <c r="E27" i="24"/>
  <c r="E86" i="24"/>
  <c r="N46" i="24" l="1"/>
  <c r="F52" i="24"/>
  <c r="D53" i="24"/>
  <c r="O45" i="24" a="1"/>
  <c r="O45" i="24" s="1"/>
  <c r="E50" i="24" s="1"/>
  <c r="D54" i="24"/>
  <c r="E52" i="24" a="1"/>
  <c r="E52" i="24" s="1"/>
  <c r="E53" i="24" s="1"/>
  <c r="D52" i="24"/>
  <c r="O46" i="24"/>
  <c r="E54" i="24" s="1"/>
  <c r="D48" i="24"/>
  <c r="D50" i="24"/>
  <c r="D49" i="24"/>
  <c r="F20" i="32"/>
  <c r="E57" i="24" l="1"/>
  <c r="D31" i="10"/>
  <c r="O17" i="32"/>
  <c r="F15" i="32" s="1"/>
  <c r="D21" i="1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
    <bk>
      <extLst>
        <ext uri="{3e2802c4-a4d2-4d8b-9148-e3be6c30e623}">
          <xlrd:rvb i="0"/>
        </ext>
      </extLst>
    </bk>
  </futureMetadata>
  <futureMetadata name="XLDAPR" count="1">
    <bk>
      <extLst>
        <ext uri="{bdbb8cdc-fa1e-496e-a857-3c3f30c029c3}">
          <xda:dynamicArrayProperties fDynamic="1" fCollapsed="0"/>
        </ext>
      </extLst>
    </bk>
  </futureMetadata>
  <cellMetadata count="1">
    <bk>
      <rc t="2" v="0"/>
    </bk>
  </cellMetadata>
  <valueMetadata count="1">
    <bk>
      <rc t="1" v="0"/>
    </bk>
  </valueMetadata>
</metadata>
</file>

<file path=xl/sharedStrings.xml><?xml version="1.0" encoding="utf-8"?>
<sst xmlns="http://schemas.openxmlformats.org/spreadsheetml/2006/main" count="1194" uniqueCount="234">
  <si>
    <t>Veileder</t>
  </si>
  <si>
    <t>Slik bruker dere dette kostnadsverktøyet:</t>
  </si>
  <si>
    <t>Fyll ut de grønne feltene:</t>
  </si>
  <si>
    <t xml:space="preserve">Dukker denne teksten opp, må feltet fylles ut for å kunne gå videre: </t>
  </si>
  <si>
    <t>*obligatorisk</t>
  </si>
  <si>
    <t>Grå tekst er:</t>
  </si>
  <si>
    <t>nyttig informasjon</t>
  </si>
  <si>
    <t>Blå tekst:</t>
  </si>
  <si>
    <t>krever kommentar</t>
  </si>
  <si>
    <t>Når alle obligatoriske felt er utfylt, blir totalkostnaden regnet ut:</t>
  </si>
  <si>
    <t>Har dere spørsmål?</t>
  </si>
  <si>
    <t>Send supportsak her</t>
  </si>
  <si>
    <t xml:space="preserve"> digtil@imdi.no</t>
  </si>
  <si>
    <t xml:space="preserve">  400 01 960 - tastevalg 4 - tirsdag til torsdag, mellom 09:00 og 11:30</t>
  </si>
  <si>
    <t>Endringer</t>
  </si>
  <si>
    <t>Publisert på nettsiden</t>
  </si>
  <si>
    <t>Oppdatert for rundskriv 2025</t>
  </si>
  <si>
    <t>Oppdatert veiledningstekst og beregningen av pensjonskostnader</t>
  </si>
  <si>
    <t>Begrepsliste</t>
  </si>
  <si>
    <t>A</t>
  </si>
  <si>
    <t>Alminnelig arbeidstid</t>
  </si>
  <si>
    <t>Alminnelig arbeidstid er den vanlige arbeidstiden personalet har i løpet av en uke eller dag, som fastsettes i arbeidsmiljøloven. Mange som har inngått en tariffavtale, har avtale om 37,5 timer per uke. For de som jobber skiftarbeid, turnusarbeid, nattarbeid og søndagsarbeid er den alminnelige ukentlige arbeidstiden kortere, som 35,5 timer per uke.</t>
  </si>
  <si>
    <t>Arbeidsgiveravgift</t>
  </si>
  <si>
    <t xml:space="preserve">Arbeidsgiveravgiften er regionalt differensiert og  fastsettes av Stortinget hvert år. Finn riktig arbeidsgiveravgift for din kommune her: </t>
  </si>
  <si>
    <t>https://www.skatteetaten.no/satser/arbeidsgiveravgift-soneinndeling/</t>
  </si>
  <si>
    <t>Arbeidstimer per uke</t>
  </si>
  <si>
    <t>Arbeidstimer per uke er, i denne sammenhengen, antall timer per uke der personalet har direkte oppfølging med flyktningen i tiltaket. Det vil si ekskludert de timene personalet bruker på koordinering, reise, eller administrative oppgaver.</t>
  </si>
  <si>
    <t xml:space="preserve">Arbeidstimer tilsvarer vedtaksfestede timer flyktning har mottatt. Ikke-mottatte timer skal trekkes fra. Tjenester som ikke er levert, faller utenfor ordningen. </t>
  </si>
  <si>
    <t>Arbeidsuker i tilskuddperioden</t>
  </si>
  <si>
    <t>F</t>
  </si>
  <si>
    <t>Feriepenger</t>
  </si>
  <si>
    <t>Feriepenger er tolv prosent av feriepengegrunnlaget ved fem ukers ferie. Personalet over 60 år har rett på 14,3 prosent av feriepengegrunnlaget ved seks ukers ferie.</t>
  </si>
  <si>
    <t>P</t>
  </si>
  <si>
    <r>
      <t xml:space="preserve">Pensjonskostnader, </t>
    </r>
    <r>
      <rPr>
        <i/>
        <sz val="11"/>
        <color theme="1" tint="0.249977111117893"/>
        <rFont val="Aptos Narrow"/>
        <family val="2"/>
        <scheme val="minor"/>
      </rPr>
      <t>arbeidsgiversandel</t>
    </r>
  </si>
  <si>
    <t>Pensjonskostnader er de kostnadene en arbeidsgiver har til pensjonsordninger for den ansatte. Arbeidsgiver betaler et beløp som tilsvarer minimum to prosent av arbeidstakerens lønn til pensjonsordningen. Arbeidsgiver kan velge en høyere prosent eller sats - innenfor rammene som står i pensjonslovene.</t>
  </si>
  <si>
    <t>S</t>
  </si>
  <si>
    <t>Stillingsprosent</t>
  </si>
  <si>
    <t xml:space="preserve">Stillingsprosent er et mål på hvor stor del av en fulltidsstilling en ansatt jobber. Den angis i prosent og viser forholdet mellom den avtalte arbeidstiden og en fulltidsstilling sin normerte arbeidstid. </t>
  </si>
  <si>
    <t>Skoleuker</t>
  </si>
  <si>
    <t>Opplæringsloven fastsetter at opplæringen skal strekke seg over minst 38 skoleuker innenfor en ramme på 45 sammenhengende uker.</t>
  </si>
  <si>
    <t>T</t>
  </si>
  <si>
    <t>Timelønn</t>
  </si>
  <si>
    <t>En ansatte, som jobber 37,5 timer per uke mandag–fredag, beregnes timelønn etter: Årslønn / 37,5 / 52</t>
  </si>
  <si>
    <t>Timelønn (for undervisningspersonale i Oslo kommune)</t>
  </si>
  <si>
    <t>I Oslo kommune beregnes timelønn etter: Årslønn x 1500 / (Årsramme x 1687,5)</t>
  </si>
  <si>
    <t>Timelønn (for undervisningspersonale i KS-området utenom Oslo)</t>
  </si>
  <si>
    <t>I kommuner utenom Oslo beregnes timelønn etter: Årslønn x 1400 x 100 / (Årsramme x 1687,5 x 112)</t>
  </si>
  <si>
    <t>Dette følger av hovedtariffavtalen § 12.4.</t>
  </si>
  <si>
    <r>
      <t xml:space="preserve">Timelønn, </t>
    </r>
    <r>
      <rPr>
        <i/>
        <sz val="11"/>
        <color theme="1" tint="0.249977111117893"/>
        <rFont val="Aptos Narrow"/>
        <family val="2"/>
        <scheme val="minor"/>
      </rPr>
      <t>inkludert sosiale utgifter</t>
    </r>
  </si>
  <si>
    <t>Å</t>
  </si>
  <si>
    <t>Årsramme</t>
  </si>
  <si>
    <t>Årstimer</t>
  </si>
  <si>
    <t>Se "Arbeidstimer per uke"</t>
  </si>
  <si>
    <t>Miljøterapeut, sykepleier, assistent eller andre uten undervisningstid</t>
  </si>
  <si>
    <t>Ekstratilskuddet dekker:</t>
  </si>
  <si>
    <r>
      <t xml:space="preserve">Ekstratilskuddet dekker </t>
    </r>
    <r>
      <rPr>
        <b/>
        <i/>
        <sz val="12"/>
        <color rgb="FF404040"/>
        <rFont val="Aptos Narrow"/>
        <family val="2"/>
        <scheme val="minor"/>
      </rPr>
      <t>ikke</t>
    </r>
    <r>
      <rPr>
        <sz val="12"/>
        <color rgb="FF404040"/>
        <rFont val="Aptos Narrow"/>
        <family val="2"/>
        <scheme val="minor"/>
      </rPr>
      <t>:</t>
    </r>
  </si>
  <si>
    <t>Timesats max</t>
  </si>
  <si>
    <t>-</t>
  </si>
  <si>
    <t>þ</t>
  </si>
  <si>
    <t>Lønn når ansatte har direkte oppfølging med flyktningen, altså ansikt-til-ansikt</t>
  </si>
  <si>
    <t>ý</t>
  </si>
  <si>
    <t>Lønn til koordinering, reisetid og administrative oppgaver</t>
  </si>
  <si>
    <t>Pensjon max</t>
  </si>
  <si>
    <t>De sosiale utgiftene: feriepenger, arbeidsgivers andel av pensjonskostnader og arbeidsgiveravgift</t>
  </si>
  <si>
    <t>De sosiale utgiftene: overtid, vikarutgifter, merverdiavgifter, forsikring og administrative påslag</t>
  </si>
  <si>
    <t>Text if blank</t>
  </si>
  <si>
    <t>* valgfritt</t>
  </si>
  <si>
    <t>Pensjonsutgiften: betalbar, fakturert premie for kollektiv pensjonsordning</t>
  </si>
  <si>
    <t>Pensjonsutgifter til reguleringspremie eller andre størrelser etter aktuarberegninger, som premiefond, utjevning, selvrisiko, egenbetaling pensjon, eller fremtidig avsetning</t>
  </si>
  <si>
    <t xml:space="preserve">*obligatorisk </t>
  </si>
  <si>
    <t>Text if not a number</t>
  </si>
  <si>
    <t xml:space="preserve">* ugyldig verdi -- må kun være tall. </t>
  </si>
  <si>
    <t>Kopierte du verdien fra en annen kilde, skrive det heller inn manuelt.</t>
  </si>
  <si>
    <t>Gyldig = 0</t>
  </si>
  <si>
    <t>Comment</t>
  </si>
  <si>
    <t>Text A</t>
  </si>
  <si>
    <t>Text B</t>
  </si>
  <si>
    <t>Beregning 1</t>
  </si>
  <si>
    <t>Tiltak</t>
  </si>
  <si>
    <t>Stillingstittel</t>
  </si>
  <si>
    <t xml:space="preserve">Antall ansatte </t>
  </si>
  <si>
    <t>Årslønn/ gjennomsnittslønn</t>
  </si>
  <si>
    <t>Sats feriepenger</t>
  </si>
  <si>
    <t>Sats pensjon</t>
  </si>
  <si>
    <t>Sats arbeidsgiveravgift</t>
  </si>
  <si>
    <t>Finn riktig arbeidsgiveravgift for kommunen din her</t>
  </si>
  <si>
    <t>37,5 timer/uke</t>
  </si>
  <si>
    <t>Show</t>
  </si>
  <si>
    <t>Timelønn, inkludert sosiale utgifter</t>
  </si>
  <si>
    <t>Lønn</t>
  </si>
  <si>
    <t>Pensjonskostnader</t>
  </si>
  <si>
    <t>Totalkostnad per ansatt</t>
  </si>
  <si>
    <t>Totalkostnad</t>
  </si>
  <si>
    <t>Kryss av for å se beregning</t>
  </si>
  <si>
    <t>Skriv kommentar her</t>
  </si>
  <si>
    <t>Skolelærer med undervisningstid</t>
  </si>
  <si>
    <t>Lønn for den tiden læreren underviser flyktningen</t>
  </si>
  <si>
    <t>Administrativt arbeid, eller "egentid"</t>
  </si>
  <si>
    <t>Lønn for en viss tid for før- og etterarbeid som er bakt inn i timelønnen</t>
  </si>
  <si>
    <t>Kompetanseheving, strategisk planlegging, andre oppgaver, eller "fellestid"</t>
  </si>
  <si>
    <t xml:space="preserve">Antall lærere </t>
  </si>
  <si>
    <t>Område</t>
  </si>
  <si>
    <t>KS-området (utenom Oslo)</t>
  </si>
  <si>
    <t>Antall skoleuker per ett år</t>
  </si>
  <si>
    <t>Årsramme (à 60 minutter)</t>
  </si>
  <si>
    <t>Oppgi egen årsramme</t>
  </si>
  <si>
    <t>Finn riktig årsramme her</t>
  </si>
  <si>
    <t>*obligatorisk; oppgi egen årsramme når ingen fra listen passer</t>
  </si>
  <si>
    <t>Årslønn / gjennomsnittslønn</t>
  </si>
  <si>
    <t>Antall årstimer tilrådt av PPT (à 60 minutter)</t>
  </si>
  <si>
    <t xml:space="preserve">⚠️Dere søker om pedagogisk tiltak uten å ha PPT-tilrådning. Forklar hvorfor i kommentarfeltet nederst. </t>
  </si>
  <si>
    <t>Barnevernstiltak</t>
  </si>
  <si>
    <r>
      <t xml:space="preserve">Ekstratilskuddet dekker </t>
    </r>
    <r>
      <rPr>
        <b/>
        <i/>
        <sz val="12"/>
        <color rgb="FF404040"/>
        <rFont val="Aptos Narrow"/>
        <family val="2"/>
        <scheme val="minor"/>
      </rPr>
      <t>ikke</t>
    </r>
    <r>
      <rPr>
        <i/>
        <sz val="12"/>
        <color rgb="FF404040"/>
        <rFont val="Aptos Narrow"/>
        <family val="2"/>
        <scheme val="minor"/>
      </rPr>
      <t>:</t>
    </r>
    <r>
      <rPr>
        <sz val="12"/>
        <color rgb="FF404040"/>
        <rFont val="Aptos Narrow"/>
        <family val="2"/>
        <scheme val="minor"/>
      </rPr>
      <t xml:space="preserve"> </t>
    </r>
  </si>
  <si>
    <t xml:space="preserve">Utgifter som husleie, strøm, mat, utstyr, fritidsaktiviteter </t>
  </si>
  <si>
    <t>Kommunal egenandel for tiltak gitt av Bufetat. Inntil Bufdirs veiledende satser.</t>
  </si>
  <si>
    <t>Lønn til administrativt personale</t>
  </si>
  <si>
    <t>Kommunal egenandel ved fosterhjemsplassering, institusjon og hjemmebaserte tiltak. Inntil Bufdirs veiledende satser.</t>
  </si>
  <si>
    <t>Undersøkelsessak og ordinær oppfølging av fosterhjem</t>
  </si>
  <si>
    <t xml:space="preserve">Grunnstøtte til ordinært kommunalt  fosterhjem og besøkshjem </t>
  </si>
  <si>
    <t>KS-satsene for fosterhjem og besøkshjem reguleres hvert år med virkning fra 1. juli. Mer info her: www.ks.no/</t>
  </si>
  <si>
    <t>År</t>
  </si>
  <si>
    <t>Antall dager i året</t>
  </si>
  <si>
    <t>Antall dager</t>
  </si>
  <si>
    <r>
      <t xml:space="preserve">Innskrivningsdato </t>
    </r>
    <r>
      <rPr>
        <i/>
        <sz val="11"/>
        <color theme="2" tint="-0.249977111117893"/>
        <rFont val="Aptos Narrow"/>
        <family val="2"/>
        <scheme val="minor"/>
      </rPr>
      <t>(dd.mm.åååå)</t>
    </r>
  </si>
  <si>
    <t>Innskrivningsår</t>
  </si>
  <si>
    <r>
      <t xml:space="preserve">Utskrivningsdato </t>
    </r>
    <r>
      <rPr>
        <i/>
        <sz val="11"/>
        <color theme="2" tint="-0.249977111117893"/>
        <rFont val="Aptos Narrow"/>
        <family val="2"/>
        <scheme val="minor"/>
      </rPr>
      <t>(dd.mm.åååå)</t>
    </r>
  </si>
  <si>
    <t>Utskrivningsår</t>
  </si>
  <si>
    <t>Null?</t>
  </si>
  <si>
    <t>Samme satsår?</t>
  </si>
  <si>
    <t>Første måned i år</t>
  </si>
  <si>
    <r>
      <t>Plasseringsdato</t>
    </r>
    <r>
      <rPr>
        <sz val="11"/>
        <color theme="0" tint="-0.34998626667073579"/>
        <rFont val="Aptos Narrow"/>
        <family val="2"/>
        <scheme val="minor"/>
      </rPr>
      <t xml:space="preserve"> </t>
    </r>
    <r>
      <rPr>
        <i/>
        <sz val="11"/>
        <color theme="0" tint="-0.34998626667073579"/>
        <rFont val="Aptos Narrow"/>
        <family val="2"/>
        <scheme val="minor"/>
      </rPr>
      <t>(velg fra liste)</t>
    </r>
  </si>
  <si>
    <r>
      <rPr>
        <sz val="11"/>
        <color rgb="FF404040"/>
        <rFont val="Aptos Narrow"/>
        <family val="2"/>
        <scheme val="minor"/>
      </rPr>
      <t xml:space="preserve">Innskrivningsdato </t>
    </r>
    <r>
      <rPr>
        <i/>
        <sz val="11"/>
        <color rgb="FFADADAD"/>
        <rFont val="Aptos Narrow"/>
        <family val="2"/>
        <scheme val="minor"/>
      </rPr>
      <t>(dd.mm.åååå)</t>
    </r>
  </si>
  <si>
    <t>Null?*</t>
  </si>
  <si>
    <t>Kommunal egenandel til barnevernsinstitusjoner</t>
  </si>
  <si>
    <t>Ansvarsgruppemøter / sakkyndig arbeid fra PPT</t>
  </si>
  <si>
    <t>Sakkyndig utredning fra andre instanser enn PPT</t>
  </si>
  <si>
    <t>Sakkyndig arbeid fra PPT, dokumenterte utgifter</t>
  </si>
  <si>
    <t>Ansvarsgruppemøter</t>
  </si>
  <si>
    <t>Antall 
deltakere</t>
  </si>
  <si>
    <t>FP
(%)</t>
  </si>
  <si>
    <t>Pensjon
(%)</t>
  </si>
  <si>
    <t>AGA
(%)</t>
  </si>
  <si>
    <t>Timelønn
inkl. sosiale utg</t>
  </si>
  <si>
    <t>Antall timer
per møte</t>
  </si>
  <si>
    <t>Antall 
møter</t>
  </si>
  <si>
    <t>Beløp</t>
  </si>
  <si>
    <t>Sakkyndig arbeid fra PPT</t>
  </si>
  <si>
    <t>Årslønn / 
gjennomsnittslønn</t>
  </si>
  <si>
    <t>Antall timer</t>
  </si>
  <si>
    <t>Utgifter til tolk brukt i andre søkte tiltak</t>
  </si>
  <si>
    <t>Administrativt arbeid</t>
  </si>
  <si>
    <t>Tiltaket tolken er brukt i</t>
  </si>
  <si>
    <t>Transportutgift</t>
  </si>
  <si>
    <t>Kommunens egenandel til transport til / fra barnehage og skole, som fylkeskommunen dekker.</t>
  </si>
  <si>
    <t xml:space="preserve">Transportutgifter til / fra skole og barnehage, som dekkes av fylkeskommunen eller transportutgifter tilknyttet TT-kort. </t>
  </si>
  <si>
    <t>Transport for kommunale tjenester, som for eksempel hjemmetjeneste, barnevern og flyktningtjeneste.</t>
  </si>
  <si>
    <t>Transport</t>
  </si>
  <si>
    <r>
      <rPr>
        <b/>
        <sz val="11"/>
        <color theme="1" tint="0.249977111117893"/>
        <rFont val="Aptos Narrow"/>
        <family val="2"/>
        <scheme val="minor"/>
      </rPr>
      <t>Dato fra</t>
    </r>
    <r>
      <rPr>
        <sz val="11"/>
        <color theme="1" tint="0.249977111117893"/>
        <rFont val="Aptos Narrow"/>
        <family val="2"/>
        <scheme val="minor"/>
      </rPr>
      <t xml:space="preserve">
</t>
    </r>
    <r>
      <rPr>
        <i/>
        <sz val="11"/>
        <color theme="2" tint="-0.249977111117893"/>
        <rFont val="Aptos Narrow"/>
        <family val="2"/>
        <scheme val="minor"/>
      </rPr>
      <t>(dd.mm.åååå)</t>
    </r>
  </si>
  <si>
    <r>
      <rPr>
        <b/>
        <sz val="11"/>
        <color theme="1" tint="0.249977111117893"/>
        <rFont val="Aptos Narrow"/>
        <family val="2"/>
        <scheme val="minor"/>
      </rPr>
      <t>Dato til</t>
    </r>
    <r>
      <rPr>
        <sz val="11"/>
        <color theme="1" tint="0.249977111117893"/>
        <rFont val="Aptos Narrow"/>
        <family val="2"/>
        <scheme val="minor"/>
      </rPr>
      <t xml:space="preserve">
</t>
    </r>
    <r>
      <rPr>
        <i/>
        <sz val="11"/>
        <color theme="2" tint="-0.249977111117893"/>
        <rFont val="Aptos Narrow"/>
        <family val="2"/>
        <scheme val="minor"/>
      </rPr>
      <t>(dd.mm.åååå)</t>
    </r>
  </si>
  <si>
    <r>
      <rPr>
        <b/>
        <sz val="11"/>
        <color rgb="FF404040"/>
        <rFont val="Aptos Narrow"/>
        <family val="2"/>
        <scheme val="minor"/>
      </rPr>
      <t xml:space="preserve">Transportmiddel
</t>
    </r>
    <r>
      <rPr>
        <i/>
        <sz val="11"/>
        <color rgb="FFA6A6A6"/>
        <rFont val="Aptos Narrow"/>
        <family val="2"/>
        <scheme val="minor"/>
      </rPr>
      <t>(velg fra nedtrekksmeny under...)</t>
    </r>
  </si>
  <si>
    <t>Takst per reise</t>
  </si>
  <si>
    <t>Antall reiser</t>
  </si>
  <si>
    <t>INNSTILLINGER</t>
  </si>
  <si>
    <t>Velg fra liste….</t>
  </si>
  <si>
    <t>Oslo kommune</t>
  </si>
  <si>
    <t>741 - Barnetrinnet</t>
  </si>
  <si>
    <t>606 - Ungdomstrinnet (norsk)</t>
  </si>
  <si>
    <t>635 - Ungdomstrinnet (engelsk, mat)</t>
  </si>
  <si>
    <t>664 - Ungdomstrinnet (øvrige fag)</t>
  </si>
  <si>
    <t>Egenbetaling</t>
  </si>
  <si>
    <t>Institusjon</t>
  </si>
  <si>
    <t>Beredskapshjem</t>
  </si>
  <si>
    <t>Eksisterende plasseringer gjort før 2022</t>
  </si>
  <si>
    <t>https://www.regjeringen.no/no/dokumenter/satser-for-kommunal-egenbetaling-for-barnevernstiltak-2022/id2902438/</t>
  </si>
  <si>
    <t xml:space="preserve"> </t>
  </si>
  <si>
    <t>https://www.regjeringen.no/no/dokumenter/satser-for-kommunal-egenbetaling-for-statlige-barnevernstiltak-2023/id2953174/</t>
  </si>
  <si>
    <t>https://www.regjeringen.no/no/dokumenter/satser-for-kommunal-egenbetaling-for-statlige-barnevernstiltak-2024/id3020128/</t>
  </si>
  <si>
    <t>https://www.regjeringen.no/no/dokumenter/satser-for-kommunal-egenbetaling-for-statlige-barnevernstiltak-2025/id3080096/</t>
  </si>
  <si>
    <t>må oppdateres</t>
  </si>
  <si>
    <t>sats er videreført fra 2025</t>
  </si>
  <si>
    <t>Grunnstøtte</t>
  </si>
  <si>
    <t>https://www.ks.no/arkiv/veiledende-satser-for-fosterhjem-og-besokshjem-2022/</t>
  </si>
  <si>
    <t>https://www.ks.no/arkiv/veiledende-satser-for-fosterhjem-og-besokshjem-2023/</t>
  </si>
  <si>
    <t>https://www.ks.no/fagomrader/barn-og-unge/barnevern/veiledende-satser-for-fosterhjem-og-besokshjem-2024/</t>
  </si>
  <si>
    <t>https://www.ks.no/fagomrader/barn-og-unge/barnevern/veiledende-satser-for-fosterhjem-og-besokshjem-2025/</t>
  </si>
  <si>
    <t>sats er videreført fra 2024</t>
  </si>
  <si>
    <t>35,5 timer/uke</t>
  </si>
  <si>
    <t>40 timer/uke</t>
  </si>
  <si>
    <t>42 timer/uke</t>
  </si>
  <si>
    <t>Arbeidsgiversavgift</t>
  </si>
  <si>
    <t>I</t>
  </si>
  <si>
    <t>II</t>
  </si>
  <si>
    <t>III</t>
  </si>
  <si>
    <t>IV</t>
  </si>
  <si>
    <t>IVa</t>
  </si>
  <si>
    <t>V</t>
  </si>
  <si>
    <t>Kopierte dere verdien fra en annen kilde, skrive det heller inn manuelt.</t>
  </si>
  <si>
    <t xml:space="preserve">I dette hjelpeverktøyet skal dere legge inn den ansattes årslønn (grunnlønn uten tillegg). Selv om den ansatte jobber deltid, skal dere oppgi årslønn for full stilling. </t>
  </si>
  <si>
    <t>Timelønn er lønnen en arbeidstaker mottar per time.</t>
  </si>
  <si>
    <t xml:space="preserve">Ekstratilskudd kan dekke betalbar fakturert premie for kollektiv pensjonsordning. Reguleringspremie og andre størrelser etter aktuarberegninger dekkes ikke av ekstratilskuddet. Dette kan være premiefond, utjevning, selvrisiko, framtidig avsetning og egenbetaling. Derfor tas ikke dette med i beregning av pensjonssats. For pensjonssats over ti prosent, må kommunen gjøre rede for innholdet, og hvordan dere har kommet fram til satsen. </t>
  </si>
  <si>
    <t xml:space="preserve">Årsramme er antall timer med undervisning per år i et fag i en 100 prosent stilling. For å omregne eventuelle undervisningstimer à 45 minutter til klokketimer, multipliserer dere årsrammen med 0,75. </t>
  </si>
  <si>
    <r>
      <t xml:space="preserve">Årslønn, </t>
    </r>
    <r>
      <rPr>
        <i/>
        <sz val="11"/>
        <color theme="1" tint="0.249977111117893"/>
        <rFont val="Aptos Narrow"/>
        <family val="2"/>
        <scheme val="minor"/>
      </rPr>
      <t>eventuelt gjennomsnittslønn</t>
    </r>
  </si>
  <si>
    <t>Timelønn inkludert sosiale utgifter er timelønn som inkluderer feriepenger, arbeidsgiveravgift og pensjonsutgifter. I denne sammenheng er forsikringer og andre påslag ikke inkludert, fordi det ikke dekkes av ekstratilskuddet.</t>
  </si>
  <si>
    <t>Årslønn (grunnlønn) er den ansattes brutto årslønn, før eventuelle tillegg for overtid, feriepenger og andre tillegg. Årslønnen er det samme beløpet som står i arbeidskontrakten.</t>
  </si>
  <si>
    <t xml:space="preserve">Har dere lønnsutgifter for flere ansatte, for eksempel i en institusjon, kan dere bruke gjennomsnittslønn i feltet "Årslønn". I de tilfellene bruker dere gjennomsnittlig lønn for de aktuelle personene som har fulgt brukeren i tiltaket. </t>
  </si>
  <si>
    <t>For undervisningspersonale er dette noe annerledes; her ønsker vi at dere oppgir antall timer per uke som den ansatte underviser eleven (altså årstimer). Det vil si at for- og etterarbeid er innbakt i lønnen - les mer under "Timelønn".  Fellestid og egentid skal ikke inkluderes i timelønnen for undervisningspersonale.</t>
  </si>
  <si>
    <t>Arbeidsuker er, i dette tilfellet, antall uker den ansatte er på jobb, og har direkte oppfølging med flyktningen - i løpet av flyktningens tilskuddsperiode (altså ikke per kalenderår). Det vil si ekskludert de ukene den ansatte er på ferie, sykmeldt eller i permisjon, eller uker der flyktning av annen grunn ikke følges opp i tiltaket.</t>
  </si>
  <si>
    <t>Direkte brukeroppfølging - "ansikt-til-ansikt" tid med den aktuelle flyktningen</t>
  </si>
  <si>
    <t>Kommunal egenandel til beredskapshjem, og forsterket fosterhjem</t>
  </si>
  <si>
    <t>Utgifter for antall møtedeltakere per gang og antall timer per møte.</t>
  </si>
  <si>
    <t>Beregn kun møter der aktuell flyktning, eller representant deltar.</t>
  </si>
  <si>
    <t>Før- og etterarbeid av ansvarsgruppemøter</t>
  </si>
  <si>
    <t>Koordinerende møter uten at flyktningen selv, foreldre, eller verge  deltar</t>
  </si>
  <si>
    <t xml:space="preserve">Merverdiavgift (mva) </t>
  </si>
  <si>
    <t>Eksterne tolketjenester (basert på faktura)</t>
  </si>
  <si>
    <t>Antall 
tolk</t>
  </si>
  <si>
    <t>Antall timer i periode</t>
  </si>
  <si>
    <t>Timepris</t>
  </si>
  <si>
    <t>Kommunal tolketjeneste</t>
  </si>
  <si>
    <t>Direkte lønnsutgifter for tolk. Det vil si lønn for de timene der den akutelle flyktningen er til stede og  i samtale med tolken.</t>
  </si>
  <si>
    <t>Reisetid og for- og etterarbeid</t>
  </si>
  <si>
    <t>Tolkebruk som ikke tilhører annen type oppfølging av flyktningen, dekkes av integreringstilskudd</t>
  </si>
  <si>
    <t xml:space="preserve"> Transport til og fra barnehage eller skole, som ikke dekkes av fylkeskommunen. I saker der flyktningen har vedtak om spesialundervisning, er hovedregelen at fylkeskommunen dekker kostnader til transport til og fra skole og barnehage. </t>
  </si>
  <si>
    <t>Beregning 2</t>
  </si>
  <si>
    <t>Arbeidstimer per uke (totalt)</t>
  </si>
  <si>
    <t>Antall undervisningstimer i periode (totalt)</t>
  </si>
  <si>
    <t>Stillingsprosent (totalt)</t>
  </si>
  <si>
    <t>Timelønn per ansatt</t>
  </si>
  <si>
    <t>Timelønn per ansatt, inkludert sosiale utgifter</t>
  </si>
  <si>
    <t>Informer i dette feltet hvis dere har søkt eller mottar andre tilskudd, som delvis dekker samme kostnader. Dette kan være fra Bufdir, Helsedirektoratet, eller andre tilskudd fra IMDi, som særskilt tilskudd. Før opp beløp og tidsperiode.</t>
  </si>
  <si>
    <t>Beregning 5</t>
  </si>
  <si>
    <t>Beregning 4</t>
  </si>
  <si>
    <t>Beregning 3</t>
  </si>
  <si>
    <t>Ny versjon; oppdatert sats for 2025 for grunnstøtte; korrigert feil i læreres timelønn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</si>
</sst>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kr&quot;\ * #,##0.00_-;\-&quot;kr&quot;\ * #,##0.00_-;_-&quot;kr&quot;\ * &quot;-&quot;??_-;_-@_-"/>
    <numFmt numFmtId="164" formatCode="0.0\ %"/>
    <numFmt numFmtId="165" formatCode="0.0"/>
    <numFmt numFmtId="166" formatCode="_-&quot;kr&quot;\ * #,##0_-;\-&quot;kr&quot;\ * #,##0_-;_-&quot;kr&quot;\ * &quot;-&quot;??_-;_-@_-"/>
    <numFmt numFmtId="167" formatCode="&quot;kr&quot;\ #,##0"/>
    <numFmt numFmtId="168" formatCode="[$-414]d/\ mmm\.\ yyyy;@"/>
  </numFmts>
  <fonts count="74" x14ac:knownFonts="1">
    <font>
      <sz val="11"/>
      <color theme="1"/>
      <name val="Aptos Narrow"/>
      <family val="2"/>
      <scheme val="minor"/>
    </font>
    <font>
      <sz val="11"/>
      <color theme="1"/>
      <name val="Aptos Narrow"/>
      <family val="2"/>
      <scheme val="minor"/>
    </font>
    <font>
      <b/>
      <sz val="18"/>
      <color theme="1" tint="0.249977111117893"/>
      <name val="Aptos Narrow"/>
      <family val="2"/>
      <scheme val="minor"/>
    </font>
    <font>
      <sz val="11"/>
      <color theme="1" tint="0.249977111117893"/>
      <name val="Aptos Narrow"/>
      <family val="2"/>
      <scheme val="minor"/>
    </font>
    <font>
      <b/>
      <sz val="11"/>
      <color theme="1" tint="0.249977111117893"/>
      <name val="Aptos Narrow"/>
      <family val="2"/>
      <scheme val="minor"/>
    </font>
    <font>
      <b/>
      <sz val="11"/>
      <color theme="0"/>
      <name val="Aptos Narrow"/>
      <family val="2"/>
      <scheme val="minor"/>
    </font>
    <font>
      <sz val="8"/>
      <name val="Aptos Narrow"/>
      <family val="2"/>
      <scheme val="minor"/>
    </font>
    <font>
      <sz val="14"/>
      <color theme="0"/>
      <name val="Aptos Narrow"/>
      <family val="2"/>
      <scheme val="minor"/>
    </font>
    <font>
      <b/>
      <sz val="14"/>
      <color theme="0"/>
      <name val="Aptos Narrow"/>
      <family val="2"/>
      <scheme val="minor"/>
    </font>
    <font>
      <u/>
      <sz val="11"/>
      <color theme="10"/>
      <name val="Aptos Narrow"/>
      <family val="2"/>
      <scheme val="minor"/>
    </font>
    <font>
      <b/>
      <sz val="26"/>
      <color theme="0"/>
      <name val="Aptos Narrow"/>
      <family val="2"/>
      <scheme val="minor"/>
    </font>
    <font>
      <sz val="10"/>
      <color theme="1" tint="0.249977111117893"/>
      <name val="Aptos Narrow"/>
      <family val="2"/>
      <scheme val="minor"/>
    </font>
    <font>
      <b/>
      <sz val="28"/>
      <color theme="0"/>
      <name val="Aptos Narrow"/>
      <family val="2"/>
      <scheme val="minor"/>
    </font>
    <font>
      <sz val="11"/>
      <color rgb="FFF15540"/>
      <name val="Aptos Narrow"/>
      <family val="2"/>
      <scheme val="minor"/>
    </font>
    <font>
      <sz val="9"/>
      <color rgb="FFF15540"/>
      <name val="Aptos Narrow"/>
      <family val="2"/>
      <scheme val="minor"/>
    </font>
    <font>
      <sz val="10"/>
      <color theme="1" tint="0.34998626667073579"/>
      <name val="Webdings"/>
      <family val="1"/>
      <charset val="2"/>
    </font>
    <font>
      <sz val="10"/>
      <color theme="1"/>
      <name val="Aptos Narrow"/>
      <family val="2"/>
      <scheme val="minor"/>
    </font>
    <font>
      <sz val="10"/>
      <color theme="1"/>
      <name val="Aptos Narrow"/>
      <family val="2"/>
      <charset val="2"/>
      <scheme val="minor"/>
    </font>
    <font>
      <i/>
      <sz val="11"/>
      <color theme="2" tint="-0.249977111117893"/>
      <name val="Aptos Narrow"/>
      <family val="2"/>
      <scheme val="minor"/>
    </font>
    <font>
      <u/>
      <sz val="8"/>
      <color theme="9"/>
      <name val="Aptos Narrow"/>
      <family val="2"/>
      <scheme val="minor"/>
    </font>
    <font>
      <i/>
      <sz val="10"/>
      <color rgb="FFFF0000"/>
      <name val="Aptos Narrow"/>
      <family val="2"/>
      <scheme val="minor"/>
    </font>
    <font>
      <sz val="10"/>
      <color theme="1"/>
      <name val="Aptos Narrow"/>
      <family val="2"/>
    </font>
    <font>
      <u/>
      <sz val="9"/>
      <color rgb="FF50A450"/>
      <name val="Aptos Narrow"/>
      <family val="2"/>
      <scheme val="minor"/>
    </font>
    <font>
      <sz val="11"/>
      <color rgb="FF404040"/>
      <name val="Aptos Narrow"/>
      <family val="2"/>
      <scheme val="minor"/>
    </font>
    <font>
      <i/>
      <sz val="11"/>
      <color rgb="FFADADAD"/>
      <name val="Aptos Narrow"/>
      <family val="2"/>
      <scheme val="minor"/>
    </font>
    <font>
      <sz val="18"/>
      <color rgb="FF50A450"/>
      <name val="Wingdings"/>
      <charset val="2"/>
    </font>
    <font>
      <sz val="11"/>
      <color theme="1"/>
      <name val="Aptos Narrow"/>
      <family val="2"/>
    </font>
    <font>
      <sz val="11"/>
      <color theme="0" tint="-0.34998626667073579"/>
      <name val="Aptos Narrow"/>
      <family val="2"/>
      <scheme val="minor"/>
    </font>
    <font>
      <i/>
      <sz val="11"/>
      <color theme="0" tint="-0.34998626667073579"/>
      <name val="Aptos Narrow"/>
      <family val="2"/>
      <scheme val="minor"/>
    </font>
    <font>
      <sz val="10"/>
      <color rgb="FFF15540"/>
      <name val="Aptos Narrow"/>
      <family val="2"/>
      <scheme val="minor"/>
    </font>
    <font>
      <sz val="11"/>
      <color rgb="FF282828"/>
      <name val="Aptos Narrow"/>
      <family val="2"/>
      <scheme val="minor"/>
    </font>
    <font>
      <b/>
      <sz val="16"/>
      <color rgb="FF282828"/>
      <name val="Aptos Narrow"/>
      <family val="2"/>
      <scheme val="minor"/>
    </font>
    <font>
      <sz val="11"/>
      <color rgb="FF282828"/>
      <name val="Wingdings"/>
      <charset val="2"/>
    </font>
    <font>
      <sz val="18"/>
      <color rgb="FFF15540"/>
      <name val="Wingdings"/>
      <charset val="2"/>
    </font>
    <font>
      <sz val="18"/>
      <color theme="1" tint="0.249977111117893"/>
      <name val="Aptos Narrow"/>
      <family val="2"/>
      <scheme val="minor"/>
    </font>
    <font>
      <sz val="12"/>
      <color theme="0"/>
      <name val="Aptos Narrow"/>
      <family val="2"/>
      <scheme val="minor"/>
    </font>
    <font>
      <sz val="24"/>
      <color theme="1"/>
      <name val="Aptos Narrow"/>
      <family val="2"/>
      <scheme val="minor"/>
    </font>
    <font>
      <i/>
      <sz val="11"/>
      <color theme="1"/>
      <name val="Aptos Narrow"/>
      <family val="2"/>
      <scheme val="minor"/>
    </font>
    <font>
      <sz val="11"/>
      <color rgb="FFFF0000"/>
      <name val="Aptos Narrow"/>
      <family val="2"/>
      <scheme val="minor"/>
    </font>
    <font>
      <sz val="10"/>
      <color rgb="FF0070C0"/>
      <name val="Aptos Narrow"/>
      <family val="2"/>
      <scheme val="minor"/>
    </font>
    <font>
      <b/>
      <sz val="30"/>
      <color theme="0"/>
      <name val="Aptos Narrow"/>
      <family val="2"/>
      <scheme val="minor"/>
    </font>
    <font>
      <sz val="9"/>
      <color rgb="FF0070C0"/>
      <name val="Aptos Narrow"/>
      <family val="2"/>
      <scheme val="minor"/>
    </font>
    <font>
      <sz val="9"/>
      <color theme="0" tint="-0.499984740745262"/>
      <name val="Aptos Narrow"/>
      <family val="2"/>
      <scheme val="minor"/>
    </font>
    <font>
      <sz val="26"/>
      <color theme="0"/>
      <name val="Aptos Narrow"/>
      <family val="2"/>
      <scheme val="minor"/>
    </font>
    <font>
      <sz val="9"/>
      <color theme="1"/>
      <name val="Aptos Narrow"/>
      <family val="2"/>
      <scheme val="minor"/>
    </font>
    <font>
      <sz val="9"/>
      <color theme="1" tint="0.249977111117893"/>
      <name val="Aptos Narrow"/>
      <family val="2"/>
      <scheme val="minor"/>
    </font>
    <font>
      <i/>
      <sz val="11"/>
      <color theme="1" tint="0.249977111117893"/>
      <name val="Aptos Narrow"/>
      <family val="2"/>
      <scheme val="minor"/>
    </font>
    <font>
      <b/>
      <sz val="11"/>
      <color rgb="FF404040"/>
      <name val="Aptos Narrow"/>
      <family val="2"/>
      <scheme val="minor"/>
    </font>
    <font>
      <i/>
      <sz val="11"/>
      <color rgb="FFA6A6A6"/>
      <name val="Aptos Narrow"/>
      <family val="2"/>
      <scheme val="minor"/>
    </font>
    <font>
      <sz val="11"/>
      <color rgb="FF0070C0"/>
      <name val="Aptos Narrow"/>
      <family val="2"/>
      <scheme val="minor"/>
    </font>
    <font>
      <sz val="9"/>
      <color theme="1" tint="0.499984740745262"/>
      <name val="Aptos Narrow"/>
      <family val="2"/>
      <scheme val="minor"/>
    </font>
    <font>
      <sz val="11"/>
      <color theme="2" tint="-0.499984740745262"/>
      <name val="Aptos Narrow"/>
      <family val="2"/>
      <scheme val="minor"/>
    </font>
    <font>
      <sz val="10"/>
      <color theme="1" tint="0.499984740745262"/>
      <name val="Aptos Narrow"/>
      <family val="2"/>
      <scheme val="minor"/>
    </font>
    <font>
      <sz val="9"/>
      <color theme="1" tint="0.34998626667073579"/>
      <name val="Aptos Narrow"/>
      <family val="2"/>
      <scheme val="minor"/>
    </font>
    <font>
      <b/>
      <sz val="24"/>
      <color theme="0"/>
      <name val="Aptos Narrow"/>
      <family val="2"/>
      <scheme val="minor"/>
    </font>
    <font>
      <b/>
      <sz val="10"/>
      <color theme="1" tint="0.249977111117893"/>
      <name val="Aptos Narrow"/>
      <family val="2"/>
      <scheme val="minor"/>
    </font>
    <font>
      <sz val="12"/>
      <color theme="1"/>
      <name val="Aptos Narrow"/>
      <family val="2"/>
      <scheme val="minor"/>
    </font>
    <font>
      <b/>
      <sz val="12"/>
      <color theme="1" tint="0.249977111117893"/>
      <name val="Aptos Narrow"/>
      <family val="2"/>
      <scheme val="minor"/>
    </font>
    <font>
      <sz val="12"/>
      <color rgb="FFF15540"/>
      <name val="Aptos Narrow"/>
      <family val="2"/>
      <scheme val="minor"/>
    </font>
    <font>
      <b/>
      <i/>
      <sz val="12"/>
      <color rgb="FF404040"/>
      <name val="Aptos Narrow"/>
      <family val="2"/>
      <scheme val="minor"/>
    </font>
    <font>
      <sz val="12"/>
      <color theme="1" tint="0.249977111117893"/>
      <name val="Aptos Narrow"/>
      <family val="2"/>
      <scheme val="minor"/>
    </font>
    <font>
      <sz val="12"/>
      <color rgb="FF404040"/>
      <name val="Aptos Narrow"/>
      <family val="2"/>
      <scheme val="minor"/>
    </font>
    <font>
      <sz val="10"/>
      <color theme="1"/>
      <name val="Aptos Narrow"/>
      <family val="2"/>
    </font>
    <font>
      <sz val="10"/>
      <color rgb="FF000000"/>
      <name val="Aptos Narrow"/>
      <family val="2"/>
    </font>
    <font>
      <sz val="14"/>
      <color rgb="FF418541"/>
      <name val="Aptos Narrow"/>
      <family val="2"/>
      <scheme val="minor"/>
    </font>
    <font>
      <sz val="9"/>
      <color rgb="FF418541"/>
      <name val="Aptos Narrow"/>
      <family val="2"/>
      <scheme val="minor"/>
    </font>
    <font>
      <sz val="11"/>
      <color theme="1" tint="0.249977111117893"/>
      <name val="Aptos Narrow"/>
      <family val="2"/>
      <scheme val="minor"/>
    </font>
    <font>
      <sz val="12"/>
      <color rgb="FF404040"/>
      <name val="Aptos Narrow"/>
      <family val="2"/>
      <scheme val="minor"/>
    </font>
    <font>
      <i/>
      <sz val="12"/>
      <color rgb="FF404040"/>
      <name val="Aptos Narrow"/>
      <family val="2"/>
      <scheme val="minor"/>
    </font>
    <font>
      <sz val="24"/>
      <color rgb="FFF15540"/>
      <name val="Aptos Narrow"/>
      <family val="2"/>
      <scheme val="minor"/>
    </font>
    <font>
      <sz val="11"/>
      <color theme="1" tint="0.34998626667073579"/>
      <name val="Aptos Narrow"/>
      <family val="2"/>
      <scheme val="minor"/>
    </font>
    <font>
      <sz val="10"/>
      <color theme="1" tint="0.34998626667073579"/>
      <name val="Aptos Narrow"/>
      <family val="2"/>
      <scheme val="minor"/>
    </font>
    <font>
      <b/>
      <sz val="20"/>
      <color theme="1" tint="0.249977111117893"/>
      <name val="Aptos Narrow"/>
      <family val="2"/>
      <scheme val="minor"/>
    </font>
    <font>
      <sz val="10"/>
      <color rgb="FF000000"/>
      <name val="Aptos Narrow"/>
      <family val="2"/>
    </font>
  </fonts>
  <fills count="12">
    <fill>
      <patternFill patternType="none"/>
    </fill>
    <fill>
      <patternFill patternType="gray125"/>
    </fill>
    <fill>
      <patternFill patternType="solid">
        <fgColor theme="0"/>
        <bgColor indexed="64"/>
      </patternFill>
    </fill>
    <fill>
      <patternFill patternType="solid">
        <fgColor rgb="FF50A450"/>
        <bgColor indexed="64"/>
      </patternFill>
    </fill>
    <fill>
      <patternFill patternType="solid">
        <fgColor rgb="FF418541"/>
        <bgColor indexed="64"/>
      </patternFill>
    </fill>
    <fill>
      <patternFill patternType="solid">
        <fgColor rgb="FFF2EFED"/>
        <bgColor indexed="64"/>
      </patternFill>
    </fill>
    <fill>
      <patternFill patternType="solid">
        <fgColor rgb="FFE4EFE4"/>
        <bgColor indexed="64"/>
      </patternFill>
    </fill>
    <fill>
      <patternFill patternType="solid">
        <fgColor theme="1" tint="0.34998626667073579"/>
        <bgColor indexed="64"/>
      </patternFill>
    </fill>
    <fill>
      <patternFill patternType="solid">
        <fgColor rgb="FFF2E7E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8E6"/>
        <bgColor indexed="64"/>
      </patternFill>
    </fill>
  </fills>
  <borders count="34">
    <border>
      <left/>
      <right/>
      <top/>
      <bottom/>
      <diagonal/>
    </border>
    <border>
      <left style="double">
        <color theme="0"/>
      </left>
      <right style="double">
        <color theme="0"/>
      </right>
      <top style="double">
        <color theme="0"/>
      </top>
      <bottom style="double">
        <color theme="0"/>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style="double">
        <color theme="0"/>
      </right>
      <top style="double">
        <color theme="0"/>
      </top>
      <bottom/>
      <diagonal/>
    </border>
    <border>
      <left/>
      <right/>
      <top/>
      <bottom style="double">
        <color theme="0"/>
      </bottom>
      <diagonal/>
    </border>
    <border>
      <left/>
      <right/>
      <top style="double">
        <color theme="0"/>
      </top>
      <bottom/>
      <diagonal/>
    </border>
    <border>
      <left/>
      <right style="double">
        <color theme="0"/>
      </right>
      <top/>
      <bottom style="double">
        <color theme="0"/>
      </bottom>
      <diagonal/>
    </border>
    <border>
      <left style="double">
        <color theme="0"/>
      </left>
      <right style="double">
        <color theme="0"/>
      </right>
      <top/>
      <bottom style="double">
        <color theme="0"/>
      </bottom>
      <diagonal/>
    </border>
    <border>
      <left style="double">
        <color theme="0"/>
      </left>
      <right/>
      <top/>
      <bottom style="double">
        <color theme="0"/>
      </bottom>
      <diagonal/>
    </border>
    <border>
      <left style="double">
        <color theme="0"/>
      </left>
      <right/>
      <top style="double">
        <color theme="0"/>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rgb="FF418541"/>
      </left>
      <right/>
      <top style="thin">
        <color rgb="FF418541"/>
      </top>
      <bottom style="thin">
        <color rgb="FF418541"/>
      </bottom>
      <diagonal/>
    </border>
    <border>
      <left/>
      <right style="thin">
        <color rgb="FF418541"/>
      </right>
      <top style="thin">
        <color rgb="FF418541"/>
      </top>
      <bottom style="thin">
        <color rgb="FF41854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rgb="FFBFBFBF"/>
      </left>
      <right/>
      <top style="thin">
        <color rgb="FFBFBFBF"/>
      </top>
      <bottom/>
      <diagonal/>
    </border>
    <border>
      <left style="thin">
        <color theme="0" tint="-0.249977111117893"/>
      </left>
      <right/>
      <top style="thin">
        <color rgb="FFBFBFBF"/>
      </top>
      <bottom style="thin">
        <color theme="0" tint="-0.249977111117893"/>
      </bottom>
      <diagonal/>
    </border>
    <border>
      <left/>
      <right style="thin">
        <color rgb="FFBFBFBF"/>
      </right>
      <top style="thin">
        <color rgb="FFBFBFBF"/>
      </top>
      <bottom style="thin">
        <color theme="0" tint="-0.249977111117893"/>
      </bottom>
      <diagonal/>
    </border>
    <border>
      <left style="thin">
        <color rgb="FFBFBFBF"/>
      </left>
      <right/>
      <top/>
      <bottom style="thin">
        <color rgb="FFBFBFBF"/>
      </bottom>
      <diagonal/>
    </border>
    <border>
      <left style="thin">
        <color theme="0" tint="-0.249977111117893"/>
      </left>
      <right/>
      <top style="thin">
        <color theme="0" tint="-0.249977111117893"/>
      </top>
      <bottom style="thin">
        <color rgb="FFBFBFBF"/>
      </bottom>
      <diagonal/>
    </border>
    <border>
      <left/>
      <right style="thin">
        <color rgb="FFBFBFBF"/>
      </right>
      <top style="thin">
        <color theme="0" tint="-0.249977111117893"/>
      </top>
      <bottom style="thin">
        <color rgb="FFBFBFBF"/>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88">
    <xf numFmtId="0" fontId="0" fillId="0" borderId="0" xfId="0"/>
    <xf numFmtId="0" fontId="0" fillId="2" borderId="0" xfId="0" applyFill="1"/>
    <xf numFmtId="0" fontId="2" fillId="2" borderId="0" xfId="0" applyFont="1" applyFill="1"/>
    <xf numFmtId="0" fontId="3" fillId="2" borderId="0" xfId="0" applyFont="1" applyFill="1"/>
    <xf numFmtId="166" fontId="3" fillId="2" borderId="0" xfId="0" applyNumberFormat="1" applyFont="1" applyFill="1"/>
    <xf numFmtId="44" fontId="0" fillId="0" borderId="0" xfId="0" applyNumberFormat="1"/>
    <xf numFmtId="0" fontId="4" fillId="2" borderId="0" xfId="0" applyFont="1" applyFill="1" applyAlignment="1">
      <alignment horizontal="center" vertical="top" wrapText="1"/>
    </xf>
    <xf numFmtId="0" fontId="0" fillId="3" borderId="0" xfId="0" applyFill="1" applyAlignment="1">
      <alignment horizontal="left" vertical="center"/>
    </xf>
    <xf numFmtId="0" fontId="0" fillId="4" borderId="0" xfId="0" applyFill="1" applyAlignment="1">
      <alignment horizontal="left" vertical="center"/>
    </xf>
    <xf numFmtId="0" fontId="0" fillId="5" borderId="0" xfId="0" applyFill="1"/>
    <xf numFmtId="0" fontId="0" fillId="5" borderId="0" xfId="0" applyFill="1" applyAlignment="1">
      <alignment vertical="center"/>
    </xf>
    <xf numFmtId="0" fontId="0" fillId="0" borderId="0" xfId="0" applyAlignment="1">
      <alignment vertical="center"/>
    </xf>
    <xf numFmtId="0" fontId="8" fillId="4" borderId="0" xfId="0" applyFont="1" applyFill="1" applyAlignment="1">
      <alignment horizontal="left" vertical="center"/>
    </xf>
    <xf numFmtId="166" fontId="7" fillId="4" borderId="0" xfId="0" applyNumberFormat="1" applyFont="1" applyFill="1" applyAlignment="1">
      <alignment vertical="center"/>
    </xf>
    <xf numFmtId="0" fontId="3" fillId="2" borderId="0" xfId="0" applyFont="1" applyFill="1" applyAlignment="1">
      <alignment horizontal="right" indent="1"/>
    </xf>
    <xf numFmtId="166" fontId="3" fillId="6" borderId="6" xfId="0" applyNumberFormat="1" applyFont="1" applyFill="1" applyBorder="1" applyAlignment="1" applyProtection="1">
      <alignment horizontal="right" indent="1"/>
      <protection locked="0"/>
    </xf>
    <xf numFmtId="164" fontId="3" fillId="6" borderId="6" xfId="1" applyNumberFormat="1" applyFont="1" applyFill="1" applyBorder="1" applyAlignment="1" applyProtection="1">
      <alignment horizontal="right" indent="1"/>
      <protection locked="0"/>
    </xf>
    <xf numFmtId="164" fontId="3" fillId="6" borderId="7" xfId="1" applyNumberFormat="1" applyFont="1" applyFill="1" applyBorder="1" applyAlignment="1" applyProtection="1">
      <alignment horizontal="right" indent="1"/>
      <protection locked="0"/>
    </xf>
    <xf numFmtId="0" fontId="10" fillId="4" borderId="0" xfId="0" applyFont="1" applyFill="1" applyAlignment="1">
      <alignment horizontal="left" vertical="center"/>
    </xf>
    <xf numFmtId="1" fontId="3" fillId="6" borderId="1" xfId="1" applyNumberFormat="1" applyFont="1" applyFill="1" applyBorder="1" applyAlignment="1" applyProtection="1">
      <alignment horizontal="center"/>
      <protection locked="0"/>
    </xf>
    <xf numFmtId="1" fontId="3" fillId="6" borderId="5" xfId="1" applyNumberFormat="1" applyFont="1" applyFill="1" applyBorder="1" applyAlignment="1" applyProtection="1">
      <alignment horizontal="center"/>
      <protection locked="0"/>
    </xf>
    <xf numFmtId="1" fontId="3" fillId="6" borderId="9" xfId="1" applyNumberFormat="1" applyFont="1" applyFill="1" applyBorder="1" applyAlignment="1" applyProtection="1">
      <alignment horizontal="center"/>
      <protection locked="0"/>
    </xf>
    <xf numFmtId="0" fontId="4" fillId="2" borderId="0" xfId="0" applyFont="1" applyFill="1"/>
    <xf numFmtId="0" fontId="4" fillId="2" borderId="0" xfId="0" applyFont="1" applyFill="1" applyAlignment="1">
      <alignment horizontal="center" vertical="top"/>
    </xf>
    <xf numFmtId="0" fontId="12" fillId="3" borderId="0" xfId="0" applyFont="1" applyFill="1" applyAlignment="1">
      <alignment horizontal="left" vertical="center"/>
    </xf>
    <xf numFmtId="0" fontId="5" fillId="7" borderId="12" xfId="0" applyFont="1" applyFill="1" applyBorder="1" applyAlignment="1">
      <alignment horizontal="left" indent="1"/>
    </xf>
    <xf numFmtId="0" fontId="5" fillId="7" borderId="12" xfId="0" applyFont="1" applyFill="1" applyBorder="1"/>
    <xf numFmtId="0" fontId="5" fillId="7" borderId="12" xfId="0" applyFont="1" applyFill="1" applyBorder="1" applyAlignment="1">
      <alignment wrapText="1"/>
    </xf>
    <xf numFmtId="167" fontId="9" fillId="5" borderId="13" xfId="2" applyNumberFormat="1" applyFill="1" applyBorder="1" applyAlignment="1">
      <alignment horizontal="left"/>
    </xf>
    <xf numFmtId="0" fontId="0" fillId="5" borderId="15" xfId="0" applyFill="1" applyBorder="1"/>
    <xf numFmtId="0" fontId="0" fillId="5" borderId="14" xfId="0" applyFill="1" applyBorder="1"/>
    <xf numFmtId="0" fontId="13" fillId="5" borderId="12" xfId="0" applyFont="1" applyFill="1" applyBorder="1" applyAlignment="1">
      <alignment horizontal="center"/>
    </xf>
    <xf numFmtId="0" fontId="13" fillId="5" borderId="13" xfId="0" applyFont="1" applyFill="1" applyBorder="1" applyAlignment="1">
      <alignment horizontal="left" indent="1"/>
    </xf>
    <xf numFmtId="167" fontId="13" fillId="5" borderId="12" xfId="0" applyNumberFormat="1" applyFont="1" applyFill="1" applyBorder="1" applyAlignment="1">
      <alignment horizontal="center"/>
    </xf>
    <xf numFmtId="168" fontId="3" fillId="6" borderId="6" xfId="0" applyNumberFormat="1" applyFont="1" applyFill="1" applyBorder="1" applyAlignment="1" applyProtection="1">
      <alignment horizontal="right" indent="1"/>
      <protection locked="0"/>
    </xf>
    <xf numFmtId="166" fontId="3" fillId="5" borderId="6" xfId="0" applyNumberFormat="1" applyFont="1" applyFill="1" applyBorder="1"/>
    <xf numFmtId="166" fontId="3" fillId="5" borderId="3" xfId="0" applyNumberFormat="1" applyFont="1" applyFill="1" applyBorder="1"/>
    <xf numFmtId="166" fontId="3" fillId="5" borderId="7" xfId="0" applyNumberFormat="1" applyFont="1" applyFill="1" applyBorder="1"/>
    <xf numFmtId="0" fontId="13" fillId="5" borderId="0" xfId="0" applyFont="1" applyFill="1" applyAlignment="1">
      <alignment horizontal="left" indent="1"/>
    </xf>
    <xf numFmtId="167" fontId="13" fillId="5" borderId="13" xfId="0" applyNumberFormat="1" applyFont="1" applyFill="1" applyBorder="1" applyAlignment="1">
      <alignment horizontal="center"/>
    </xf>
    <xf numFmtId="0" fontId="13" fillId="5" borderId="13" xfId="0" applyFont="1" applyFill="1" applyBorder="1" applyAlignment="1">
      <alignment horizontal="center"/>
    </xf>
    <xf numFmtId="0" fontId="5" fillId="7" borderId="12" xfId="0" applyFont="1" applyFill="1" applyBorder="1" applyAlignment="1">
      <alignment horizontal="center" wrapText="1"/>
    </xf>
    <xf numFmtId="0" fontId="13" fillId="0" borderId="0" xfId="0" quotePrefix="1" applyFont="1"/>
    <xf numFmtId="0" fontId="0" fillId="0" borderId="0" xfId="0" applyAlignment="1">
      <alignment horizontal="center" vertical="center"/>
    </xf>
    <xf numFmtId="1" fontId="0" fillId="0" borderId="0" xfId="0" applyNumberFormat="1" applyAlignment="1">
      <alignment horizontal="center" vertical="center"/>
    </xf>
    <xf numFmtId="1" fontId="0" fillId="0" borderId="0" xfId="0" applyNumberFormat="1" applyAlignment="1">
      <alignment horizontal="center"/>
    </xf>
    <xf numFmtId="14" fontId="0" fillId="0" borderId="0" xfId="0" applyNumberFormat="1"/>
    <xf numFmtId="0" fontId="0" fillId="0" borderId="0" xfId="0" applyAlignment="1">
      <alignment horizontal="center"/>
    </xf>
    <xf numFmtId="1" fontId="3" fillId="5" borderId="7" xfId="1" applyNumberFormat="1" applyFont="1" applyFill="1" applyBorder="1" applyAlignment="1" applyProtection="1">
      <alignment horizontal="right" indent="1"/>
    </xf>
    <xf numFmtId="0" fontId="14" fillId="0" borderId="0" xfId="0" applyFont="1" applyAlignment="1">
      <alignment horizontal="left" indent="1"/>
    </xf>
    <xf numFmtId="0" fontId="11" fillId="2" borderId="0" xfId="0" applyFont="1" applyFill="1" applyAlignment="1">
      <alignment vertical="top"/>
    </xf>
    <xf numFmtId="44" fontId="3" fillId="5" borderId="3" xfId="1" applyNumberFormat="1" applyFont="1" applyFill="1" applyBorder="1" applyAlignment="1" applyProtection="1">
      <alignment horizontal="right" indent="1"/>
    </xf>
    <xf numFmtId="0" fontId="13" fillId="5" borderId="14" xfId="0" applyFont="1" applyFill="1" applyBorder="1"/>
    <xf numFmtId="0" fontId="0" fillId="5" borderId="0" xfId="0" applyFill="1" applyAlignment="1">
      <alignment horizontal="center"/>
    </xf>
    <xf numFmtId="0" fontId="0" fillId="5" borderId="0" xfId="0" applyFill="1" applyAlignment="1">
      <alignment vertical="center" wrapText="1"/>
    </xf>
    <xf numFmtId="0" fontId="16" fillId="8" borderId="0" xfId="0" applyFont="1" applyFill="1" applyAlignment="1">
      <alignment horizontal="left" vertical="center" wrapText="1" indent="1"/>
    </xf>
    <xf numFmtId="14" fontId="3" fillId="2" borderId="0" xfId="0" applyNumberFormat="1" applyFont="1" applyFill="1"/>
    <xf numFmtId="0" fontId="0" fillId="0" borderId="16" xfId="0" applyBorder="1" applyAlignment="1">
      <alignment horizontal="center"/>
    </xf>
    <xf numFmtId="166" fontId="3" fillId="5" borderId="6" xfId="1" applyNumberFormat="1" applyFont="1" applyFill="1" applyBorder="1" applyAlignment="1" applyProtection="1">
      <alignment horizontal="right" indent="1"/>
    </xf>
    <xf numFmtId="168" fontId="0" fillId="0" borderId="0" xfId="0" applyNumberFormat="1"/>
    <xf numFmtId="0" fontId="3" fillId="0" borderId="0" xfId="0" applyFont="1"/>
    <xf numFmtId="0" fontId="3" fillId="2" borderId="0" xfId="0" applyFont="1" applyFill="1" applyAlignment="1">
      <alignment horizontal="center" wrapText="1"/>
    </xf>
    <xf numFmtId="14" fontId="3" fillId="6" borderId="8" xfId="0" applyNumberFormat="1" applyFont="1" applyFill="1" applyBorder="1" applyAlignment="1" applyProtection="1">
      <alignment horizontal="center"/>
      <protection locked="0"/>
    </xf>
    <xf numFmtId="14" fontId="3" fillId="6" borderId="4" xfId="0" applyNumberFormat="1" applyFont="1" applyFill="1" applyBorder="1" applyAlignment="1" applyProtection="1">
      <alignment horizontal="center"/>
      <protection locked="0"/>
    </xf>
    <xf numFmtId="14" fontId="3" fillId="6" borderId="6" xfId="0" applyNumberFormat="1" applyFont="1" applyFill="1" applyBorder="1" applyAlignment="1" applyProtection="1">
      <alignment horizontal="right" indent="1"/>
      <protection locked="0"/>
    </xf>
    <xf numFmtId="14" fontId="3" fillId="6" borderId="7" xfId="1" applyNumberFormat="1" applyFont="1" applyFill="1" applyBorder="1" applyAlignment="1" applyProtection="1">
      <alignment horizontal="right" indent="1"/>
      <protection locked="0"/>
    </xf>
    <xf numFmtId="0" fontId="19" fillId="0" borderId="0" xfId="2" applyFont="1" applyAlignment="1">
      <alignment vertical="top"/>
    </xf>
    <xf numFmtId="0" fontId="15" fillId="2" borderId="0" xfId="0" applyFont="1" applyFill="1" applyAlignment="1">
      <alignment horizontal="right"/>
    </xf>
    <xf numFmtId="0" fontId="20" fillId="0" borderId="0" xfId="0" applyFont="1" applyAlignment="1">
      <alignment horizontal="left" indent="2"/>
    </xf>
    <xf numFmtId="0" fontId="22" fillId="0" borderId="0" xfId="2" applyFont="1" applyAlignment="1">
      <alignment vertical="top"/>
    </xf>
    <xf numFmtId="44" fontId="3" fillId="6" borderId="9" xfId="0" applyNumberFormat="1" applyFont="1" applyFill="1" applyBorder="1" applyAlignment="1" applyProtection="1">
      <alignment horizontal="left" indent="1"/>
      <protection locked="0"/>
    </xf>
    <xf numFmtId="44" fontId="3" fillId="6" borderId="1" xfId="0" applyNumberFormat="1" applyFont="1" applyFill="1" applyBorder="1" applyAlignment="1" applyProtection="1">
      <alignment horizontal="left" indent="1"/>
      <protection locked="0"/>
    </xf>
    <xf numFmtId="1" fontId="3" fillId="6" borderId="5" xfId="1" applyNumberFormat="1" applyFont="1" applyFill="1" applyBorder="1" applyAlignment="1" applyProtection="1">
      <alignment horizontal="left"/>
      <protection locked="0"/>
    </xf>
    <xf numFmtId="44" fontId="3" fillId="5" borderId="10" xfId="0" applyNumberFormat="1" applyFont="1" applyFill="1" applyBorder="1" applyAlignment="1">
      <alignment horizontal="left" indent="1"/>
    </xf>
    <xf numFmtId="44" fontId="3" fillId="5" borderId="2" xfId="0" applyNumberFormat="1" applyFont="1" applyFill="1" applyBorder="1" applyAlignment="1">
      <alignment horizontal="left" indent="1"/>
    </xf>
    <xf numFmtId="44" fontId="3" fillId="5" borderId="11" xfId="0" applyNumberFormat="1" applyFont="1" applyFill="1" applyBorder="1" applyAlignment="1">
      <alignment horizontal="left" indent="1"/>
    </xf>
    <xf numFmtId="0" fontId="21" fillId="8" borderId="0" xfId="0" applyFont="1" applyFill="1" applyAlignment="1">
      <alignment horizontal="left" vertical="center" wrapText="1" indent="1"/>
    </xf>
    <xf numFmtId="0" fontId="25" fillId="8" borderId="0" xfId="0" applyFont="1" applyFill="1" applyAlignment="1">
      <alignment horizontal="left" vertical="center" wrapText="1"/>
    </xf>
    <xf numFmtId="0" fontId="16" fillId="8" borderId="0" xfId="0" applyFont="1" applyFill="1" applyAlignment="1">
      <alignment horizontal="left" vertical="center" indent="1"/>
    </xf>
    <xf numFmtId="0" fontId="0" fillId="8" borderId="0" xfId="0" applyFill="1"/>
    <xf numFmtId="0" fontId="2" fillId="8" borderId="0" xfId="0" applyFont="1" applyFill="1"/>
    <xf numFmtId="0" fontId="0" fillId="8" borderId="0" xfId="0" applyFill="1" applyAlignment="1">
      <alignment horizontal="center"/>
    </xf>
    <xf numFmtId="0" fontId="16" fillId="8" borderId="0" xfId="0" applyFont="1" applyFill="1" applyAlignment="1">
      <alignment vertical="center"/>
    </xf>
    <xf numFmtId="0" fontId="33" fillId="8" borderId="0" xfId="0" applyFont="1" applyFill="1" applyAlignment="1">
      <alignment vertical="top" wrapText="1"/>
    </xf>
    <xf numFmtId="0" fontId="23" fillId="2" borderId="0" xfId="0" applyFont="1" applyFill="1"/>
    <xf numFmtId="1" fontId="3" fillId="6" borderId="3" xfId="1" applyNumberFormat="1" applyFont="1" applyFill="1" applyBorder="1" applyAlignment="1" applyProtection="1">
      <alignment horizontal="right" indent="1"/>
      <protection locked="0"/>
    </xf>
    <xf numFmtId="0" fontId="3" fillId="6" borderId="6" xfId="0" applyFont="1" applyFill="1" applyBorder="1" applyAlignment="1" applyProtection="1">
      <alignment horizontal="right" indent="1"/>
      <protection locked="0"/>
    </xf>
    <xf numFmtId="1" fontId="3" fillId="6" borderId="6" xfId="0" applyNumberFormat="1" applyFont="1" applyFill="1" applyBorder="1" applyAlignment="1" applyProtection="1">
      <alignment horizontal="right" indent="1"/>
      <protection locked="0"/>
    </xf>
    <xf numFmtId="1" fontId="13" fillId="5" borderId="14" xfId="0" applyNumberFormat="1" applyFont="1" applyFill="1" applyBorder="1"/>
    <xf numFmtId="0" fontId="22" fillId="2" borderId="0" xfId="2" applyFont="1" applyFill="1" applyAlignment="1">
      <alignment vertical="top"/>
    </xf>
    <xf numFmtId="0" fontId="14" fillId="0" borderId="0" xfId="0" applyFont="1" applyAlignment="1">
      <alignment horizontal="left" indent="2"/>
    </xf>
    <xf numFmtId="0" fontId="14" fillId="4" borderId="0" xfId="0" applyFont="1" applyFill="1" applyAlignment="1">
      <alignment horizontal="left" vertical="center"/>
    </xf>
    <xf numFmtId="0" fontId="14" fillId="5" borderId="0" xfId="0" applyFont="1" applyFill="1"/>
    <xf numFmtId="0" fontId="14" fillId="8" borderId="0" xfId="0" applyFont="1" applyFill="1" applyAlignment="1">
      <alignment horizontal="left" vertical="center" wrapText="1" indent="1"/>
    </xf>
    <xf numFmtId="0" fontId="14" fillId="5" borderId="0" xfId="0" applyFont="1" applyFill="1" applyAlignment="1">
      <alignment vertical="center" wrapText="1"/>
    </xf>
    <xf numFmtId="0" fontId="14" fillId="2" borderId="0" xfId="0" applyFont="1" applyFill="1"/>
    <xf numFmtId="0" fontId="14" fillId="0" borderId="0" xfId="0" applyFont="1"/>
    <xf numFmtId="0" fontId="0" fillId="2" borderId="0" xfId="0" applyFill="1" applyAlignment="1">
      <alignment vertical="center" wrapText="1"/>
    </xf>
    <xf numFmtId="0" fontId="0" fillId="2" borderId="0" xfId="0" applyFill="1" applyAlignment="1">
      <alignment vertical="center"/>
    </xf>
    <xf numFmtId="0" fontId="34" fillId="8" borderId="0" xfId="0" applyFont="1" applyFill="1" applyAlignment="1">
      <alignment horizontal="left" vertical="center" indent="1"/>
    </xf>
    <xf numFmtId="166" fontId="35" fillId="4" borderId="0" xfId="0" applyNumberFormat="1" applyFont="1" applyFill="1" applyAlignment="1">
      <alignment vertical="center"/>
    </xf>
    <xf numFmtId="0" fontId="0" fillId="2" borderId="0" xfId="0" applyFill="1" applyAlignment="1">
      <alignment horizontal="right" vertical="center" wrapText="1" indent="1"/>
    </xf>
    <xf numFmtId="0" fontId="31" fillId="2" borderId="0" xfId="0" applyFont="1" applyFill="1" applyAlignment="1">
      <alignment horizontal="right" vertical="center"/>
    </xf>
    <xf numFmtId="0" fontId="30" fillId="2" borderId="0" xfId="0" applyFont="1" applyFill="1" applyAlignment="1">
      <alignment horizontal="left" vertical="center"/>
    </xf>
    <xf numFmtId="0" fontId="32" fillId="2" borderId="0" xfId="0" applyFont="1" applyFill="1" applyAlignment="1">
      <alignment horizontal="right" vertical="center"/>
    </xf>
    <xf numFmtId="0" fontId="30" fillId="2" borderId="0" xfId="0" applyFont="1" applyFill="1" applyAlignment="1">
      <alignment horizontal="right" vertical="center"/>
    </xf>
    <xf numFmtId="0" fontId="0" fillId="4" borderId="0" xfId="0" applyFill="1" applyAlignment="1">
      <alignment horizontal="left" vertical="center" wrapText="1"/>
    </xf>
    <xf numFmtId="14" fontId="0" fillId="5" borderId="0" xfId="0" applyNumberFormat="1" applyFill="1"/>
    <xf numFmtId="0" fontId="37" fillId="5" borderId="0" xfId="0" applyFont="1" applyFill="1"/>
    <xf numFmtId="0" fontId="38" fillId="5" borderId="0" xfId="0" applyFont="1" applyFill="1"/>
    <xf numFmtId="166" fontId="39" fillId="2" borderId="0" xfId="0" applyNumberFormat="1" applyFont="1" applyFill="1"/>
    <xf numFmtId="167" fontId="38" fillId="5" borderId="13" xfId="2" applyNumberFormat="1" applyFont="1" applyFill="1" applyBorder="1" applyAlignment="1">
      <alignment horizontal="left"/>
    </xf>
    <xf numFmtId="0" fontId="40" fillId="4" borderId="0" xfId="0" applyFont="1" applyFill="1" applyAlignment="1">
      <alignment horizontal="left" vertical="center"/>
    </xf>
    <xf numFmtId="0" fontId="9" fillId="2" borderId="0" xfId="2" applyFill="1" applyAlignment="1">
      <alignment horizontal="left" vertical="center"/>
    </xf>
    <xf numFmtId="0" fontId="0" fillId="0" borderId="0" xfId="0" applyAlignment="1">
      <alignment horizontal="right"/>
    </xf>
    <xf numFmtId="44" fontId="3" fillId="5" borderId="3" xfId="0" applyNumberFormat="1" applyFont="1" applyFill="1" applyBorder="1"/>
    <xf numFmtId="10" fontId="3" fillId="5" borderId="6" xfId="1" applyNumberFormat="1" applyFont="1" applyFill="1" applyBorder="1"/>
    <xf numFmtId="166" fontId="14" fillId="0" borderId="0" xfId="0" applyNumberFormat="1" applyFont="1"/>
    <xf numFmtId="165" fontId="3" fillId="6" borderId="6" xfId="0" applyNumberFormat="1" applyFont="1" applyFill="1" applyBorder="1" applyAlignment="1" applyProtection="1">
      <alignment horizontal="right" indent="1"/>
      <protection locked="0"/>
    </xf>
    <xf numFmtId="0" fontId="43" fillId="4" borderId="0" xfId="0" applyFont="1" applyFill="1" applyAlignment="1">
      <alignment horizontal="left" vertical="center"/>
    </xf>
    <xf numFmtId="0" fontId="38" fillId="0" borderId="0" xfId="0" applyFont="1"/>
    <xf numFmtId="0" fontId="3" fillId="0" borderId="0" xfId="0" applyFont="1" applyAlignment="1">
      <alignment horizontal="center"/>
    </xf>
    <xf numFmtId="0" fontId="44" fillId="9" borderId="0" xfId="0" applyFont="1" applyFill="1" applyAlignment="1">
      <alignment horizontal="center"/>
    </xf>
    <xf numFmtId="0" fontId="45" fillId="10" borderId="19" xfId="0" applyFont="1" applyFill="1" applyBorder="1" applyAlignment="1">
      <alignment horizontal="center"/>
    </xf>
    <xf numFmtId="0" fontId="45" fillId="10" borderId="19" xfId="0" applyFont="1" applyFill="1" applyBorder="1" applyAlignment="1">
      <alignment horizontal="left"/>
    </xf>
    <xf numFmtId="0" fontId="36" fillId="5" borderId="0" xfId="0" applyFont="1" applyFill="1" applyAlignment="1">
      <alignment vertical="center" wrapText="1"/>
    </xf>
    <xf numFmtId="0" fontId="36" fillId="5" borderId="0" xfId="0" applyFont="1" applyFill="1" applyAlignment="1">
      <alignment horizontal="right" vertical="center" wrapText="1"/>
    </xf>
    <xf numFmtId="0" fontId="4" fillId="5" borderId="0" xfId="0" applyFont="1" applyFill="1"/>
    <xf numFmtId="0" fontId="4" fillId="5" borderId="0" xfId="0" applyFont="1" applyFill="1" applyAlignment="1">
      <alignment horizontal="left" indent="2"/>
    </xf>
    <xf numFmtId="0" fontId="3" fillId="5" borderId="0" xfId="0" applyFont="1" applyFill="1" applyAlignment="1">
      <alignment horizontal="left" wrapText="1" indent="3"/>
    </xf>
    <xf numFmtId="0" fontId="9" fillId="5" borderId="0" xfId="2" applyFill="1" applyAlignment="1">
      <alignment horizontal="left" wrapText="1" indent="3"/>
    </xf>
    <xf numFmtId="0" fontId="3" fillId="5" borderId="0" xfId="0" applyFont="1" applyFill="1" applyAlignment="1">
      <alignment horizontal="left" vertical="center" wrapText="1" indent="3"/>
    </xf>
    <xf numFmtId="166" fontId="3" fillId="6" borderId="6" xfId="0" applyNumberFormat="1" applyFont="1" applyFill="1" applyBorder="1" applyAlignment="1" applyProtection="1">
      <alignment horizontal="right"/>
      <protection locked="0"/>
    </xf>
    <xf numFmtId="44" fontId="3" fillId="5" borderId="6" xfId="0" applyNumberFormat="1" applyFont="1" applyFill="1" applyBorder="1"/>
    <xf numFmtId="0" fontId="46" fillId="5" borderId="0" xfId="0" applyFont="1" applyFill="1" applyAlignment="1">
      <alignment horizontal="left" indent="2"/>
    </xf>
    <xf numFmtId="1" fontId="3" fillId="6" borderId="6" xfId="0" applyNumberFormat="1" applyFont="1" applyFill="1" applyBorder="1" applyAlignment="1" applyProtection="1">
      <alignment horizontal="right" vertical="center" indent="1"/>
      <protection locked="0"/>
    </xf>
    <xf numFmtId="0" fontId="16" fillId="0" borderId="0" xfId="0" applyFont="1" applyAlignment="1">
      <alignment horizontal="left"/>
    </xf>
    <xf numFmtId="0" fontId="3" fillId="2" borderId="0" xfId="0" applyFont="1" applyFill="1" applyAlignment="1">
      <alignment vertical="center"/>
    </xf>
    <xf numFmtId="166" fontId="3" fillId="5" borderId="0" xfId="0" applyNumberFormat="1" applyFont="1" applyFill="1" applyAlignment="1">
      <alignment vertical="center"/>
    </xf>
    <xf numFmtId="164" fontId="13" fillId="5" borderId="14" xfId="1" applyNumberFormat="1" applyFont="1" applyFill="1" applyBorder="1"/>
    <xf numFmtId="164" fontId="13" fillId="5" borderId="0" xfId="1" applyNumberFormat="1" applyFont="1" applyFill="1" applyBorder="1"/>
    <xf numFmtId="9" fontId="13" fillId="5" borderId="13" xfId="0" applyNumberFormat="1" applyFont="1" applyFill="1" applyBorder="1" applyAlignment="1">
      <alignment horizontal="left" indent="1"/>
    </xf>
    <xf numFmtId="10" fontId="13" fillId="5" borderId="13" xfId="0" applyNumberFormat="1" applyFont="1" applyFill="1" applyBorder="1" applyAlignment="1">
      <alignment horizontal="left" indent="1"/>
    </xf>
    <xf numFmtId="164" fontId="13" fillId="5" borderId="13" xfId="1" applyNumberFormat="1" applyFont="1" applyFill="1" applyBorder="1" applyAlignment="1">
      <alignment horizontal="left" indent="1"/>
    </xf>
    <xf numFmtId="166" fontId="0" fillId="0" borderId="0" xfId="0" applyNumberFormat="1"/>
    <xf numFmtId="0" fontId="11" fillId="0" borderId="0" xfId="0" applyFont="1" applyAlignment="1">
      <alignment horizontal="left"/>
    </xf>
    <xf numFmtId="0" fontId="29" fillId="0" borderId="19" xfId="0" applyFont="1" applyBorder="1" applyAlignment="1">
      <alignment horizontal="left"/>
    </xf>
    <xf numFmtId="0" fontId="29" fillId="0" borderId="0" xfId="0" applyFont="1" applyAlignment="1">
      <alignment horizontal="left"/>
    </xf>
    <xf numFmtId="0" fontId="50" fillId="0" borderId="0" xfId="0" applyFont="1" applyAlignment="1">
      <alignment horizontal="left" indent="2"/>
    </xf>
    <xf numFmtId="0" fontId="50" fillId="0" borderId="0" xfId="0" applyFont="1"/>
    <xf numFmtId="0" fontId="51" fillId="0" borderId="0" xfId="0" applyFont="1" applyAlignment="1">
      <alignment horizontal="center"/>
    </xf>
    <xf numFmtId="0" fontId="13" fillId="2" borderId="0" xfId="0" applyFont="1" applyFill="1" applyAlignment="1">
      <alignment horizontal="center" vertical="center"/>
    </xf>
    <xf numFmtId="0" fontId="49" fillId="2" borderId="0" xfId="0" applyFont="1" applyFill="1" applyAlignment="1">
      <alignment horizontal="center" vertical="center"/>
    </xf>
    <xf numFmtId="0" fontId="41" fillId="0" borderId="0" xfId="0" applyFont="1" applyAlignment="1">
      <alignment horizontal="left" indent="2"/>
    </xf>
    <xf numFmtId="1" fontId="45" fillId="10" borderId="19" xfId="0" applyNumberFormat="1" applyFont="1" applyFill="1" applyBorder="1" applyAlignment="1">
      <alignment horizontal="center"/>
    </xf>
    <xf numFmtId="2" fontId="0" fillId="0" borderId="0" xfId="0" applyNumberFormat="1"/>
    <xf numFmtId="44" fontId="42" fillId="2" borderId="0" xfId="0" applyNumberFormat="1" applyFont="1" applyFill="1" applyAlignment="1">
      <alignment horizontal="left" vertical="top" wrapText="1" indent="1"/>
    </xf>
    <xf numFmtId="0" fontId="44" fillId="9" borderId="28" xfId="0" applyFont="1" applyFill="1" applyBorder="1" applyAlignment="1">
      <alignment horizontal="left" vertical="center"/>
    </xf>
    <xf numFmtId="0" fontId="44" fillId="9" borderId="31" xfId="0" applyFont="1" applyFill="1" applyBorder="1" applyAlignment="1">
      <alignment horizontal="left" vertical="center"/>
    </xf>
    <xf numFmtId="166" fontId="53" fillId="0" borderId="0" xfId="0" applyNumberFormat="1" applyFont="1"/>
    <xf numFmtId="44" fontId="50" fillId="0" borderId="0" xfId="0" applyNumberFormat="1" applyFont="1" applyAlignment="1">
      <alignment horizontal="left" indent="2"/>
    </xf>
    <xf numFmtId="165" fontId="3" fillId="6" borderId="7" xfId="1" applyNumberFormat="1" applyFont="1" applyFill="1" applyBorder="1" applyAlignment="1" applyProtection="1">
      <alignment horizontal="right" indent="1"/>
      <protection locked="0"/>
    </xf>
    <xf numFmtId="0" fontId="49" fillId="0" borderId="0" xfId="0" applyFont="1" applyAlignment="1" applyProtection="1">
      <alignment horizontal="left" vertical="top" wrapText="1"/>
      <protection locked="0"/>
    </xf>
    <xf numFmtId="44" fontId="42" fillId="2" borderId="0" xfId="0" applyNumberFormat="1" applyFont="1" applyFill="1" applyAlignment="1">
      <alignment vertical="top" wrapText="1"/>
    </xf>
    <xf numFmtId="0" fontId="50" fillId="11" borderId="29" xfId="0" applyFont="1" applyFill="1" applyBorder="1" applyAlignment="1">
      <alignment horizontal="left" vertical="center"/>
    </xf>
    <xf numFmtId="0" fontId="0" fillId="11" borderId="30" xfId="0" applyFill="1" applyBorder="1" applyAlignment="1">
      <alignment vertical="center"/>
    </xf>
    <xf numFmtId="0" fontId="14" fillId="11" borderId="32" xfId="0" applyFont="1" applyFill="1" applyBorder="1" applyAlignment="1">
      <alignment horizontal="left" vertical="center"/>
    </xf>
    <xf numFmtId="0" fontId="14" fillId="11" borderId="33" xfId="0" applyFont="1" applyFill="1" applyBorder="1" applyAlignment="1">
      <alignment vertical="center"/>
    </xf>
    <xf numFmtId="0" fontId="39" fillId="11" borderId="19" xfId="0" applyFont="1" applyFill="1" applyBorder="1" applyAlignment="1">
      <alignment horizontal="left"/>
    </xf>
    <xf numFmtId="0" fontId="52" fillId="11" borderId="19" xfId="0" applyFont="1" applyFill="1" applyBorder="1" applyAlignment="1">
      <alignment horizontal="left"/>
    </xf>
    <xf numFmtId="0" fontId="29" fillId="11" borderId="19" xfId="0" applyFont="1" applyFill="1" applyBorder="1" applyAlignment="1">
      <alignment horizontal="left"/>
    </xf>
    <xf numFmtId="0" fontId="33" fillId="8" borderId="0" xfId="0" applyFont="1" applyFill="1" applyAlignment="1">
      <alignment horizontal="right" vertical="top" wrapText="1"/>
    </xf>
    <xf numFmtId="0" fontId="33" fillId="8" borderId="0" xfId="0" applyFont="1" applyFill="1" applyAlignment="1">
      <alignment horizontal="left" vertical="center" wrapText="1"/>
    </xf>
    <xf numFmtId="0" fontId="21" fillId="8" borderId="0" xfId="0" applyFont="1" applyFill="1" applyAlignment="1">
      <alignment horizontal="left" vertical="center"/>
    </xf>
    <xf numFmtId="0" fontId="54" fillId="4" borderId="0" xfId="0" applyFont="1" applyFill="1" applyAlignment="1">
      <alignment horizontal="left" vertical="center"/>
    </xf>
    <xf numFmtId="2" fontId="45" fillId="10" borderId="19" xfId="0" applyNumberFormat="1" applyFont="1" applyFill="1" applyBorder="1" applyAlignment="1">
      <alignment horizontal="center"/>
    </xf>
    <xf numFmtId="9" fontId="50" fillId="11" borderId="29" xfId="0" applyNumberFormat="1" applyFont="1" applyFill="1" applyBorder="1" applyAlignment="1">
      <alignment horizontal="left" vertical="center"/>
    </xf>
    <xf numFmtId="0" fontId="57" fillId="8" borderId="0" xfId="0" applyFont="1" applyFill="1"/>
    <xf numFmtId="0" fontId="56" fillId="8" borderId="0" xfId="0" applyFont="1" applyFill="1"/>
    <xf numFmtId="0" fontId="58" fillId="8" borderId="0" xfId="0" applyFont="1" applyFill="1"/>
    <xf numFmtId="0" fontId="60" fillId="8" borderId="0" xfId="0" applyFont="1" applyFill="1"/>
    <xf numFmtId="0" fontId="61" fillId="8" borderId="0" xfId="0" applyFont="1" applyFill="1"/>
    <xf numFmtId="0" fontId="65" fillId="0" borderId="0" xfId="0" applyFont="1" applyAlignment="1">
      <alignment horizontal="left" vertical="center"/>
    </xf>
    <xf numFmtId="0" fontId="38" fillId="5" borderId="0" xfId="0" applyFont="1" applyFill="1" applyAlignment="1">
      <alignment horizontal="left" wrapText="1" indent="3"/>
    </xf>
    <xf numFmtId="166" fontId="3" fillId="0" borderId="0" xfId="0" applyNumberFormat="1" applyFont="1"/>
    <xf numFmtId="0" fontId="45" fillId="0" borderId="0" xfId="0" applyFont="1"/>
    <xf numFmtId="0" fontId="3" fillId="0" borderId="0" xfId="0" applyFont="1" applyAlignment="1">
      <alignment vertical="center"/>
    </xf>
    <xf numFmtId="0" fontId="55" fillId="2" borderId="0" xfId="0" applyFont="1" applyFill="1" applyAlignment="1">
      <alignment horizontal="center" vertical="top" wrapText="1"/>
    </xf>
    <xf numFmtId="0" fontId="66" fillId="5" borderId="0" xfId="0" applyFont="1" applyFill="1" applyAlignment="1">
      <alignment horizontal="left" vertical="center" wrapText="1" indent="3"/>
    </xf>
    <xf numFmtId="0" fontId="67" fillId="8" borderId="0" xfId="0" applyFont="1" applyFill="1"/>
    <xf numFmtId="9" fontId="3" fillId="6" borderId="6" xfId="1" applyFont="1" applyFill="1" applyBorder="1" applyAlignment="1" applyProtection="1">
      <alignment horizontal="center" vertical="center"/>
      <protection locked="0"/>
    </xf>
    <xf numFmtId="165" fontId="3" fillId="6" borderId="9" xfId="1" applyNumberFormat="1" applyFont="1" applyFill="1" applyBorder="1" applyAlignment="1" applyProtection="1">
      <alignment horizontal="center" vertical="center"/>
      <protection locked="0"/>
    </xf>
    <xf numFmtId="165" fontId="3" fillId="6" borderId="1" xfId="1" applyNumberFormat="1" applyFont="1" applyFill="1" applyBorder="1" applyAlignment="1" applyProtection="1">
      <alignment horizontal="center" vertical="center"/>
      <protection locked="0"/>
    </xf>
    <xf numFmtId="164" fontId="3" fillId="6" borderId="9" xfId="1" applyNumberFormat="1" applyFont="1" applyFill="1" applyBorder="1" applyAlignment="1" applyProtection="1">
      <alignment horizontal="center" vertical="center"/>
      <protection locked="0"/>
    </xf>
    <xf numFmtId="44" fontId="3" fillId="5" borderId="6" xfId="0" applyNumberFormat="1" applyFont="1" applyFill="1" applyBorder="1" applyAlignment="1">
      <alignment horizontal="center" vertical="center"/>
    </xf>
    <xf numFmtId="164" fontId="3" fillId="6" borderId="1" xfId="1" applyNumberFormat="1" applyFont="1" applyFill="1" applyBorder="1" applyAlignment="1" applyProtection="1">
      <alignment horizontal="center" vertical="center"/>
      <protection locked="0"/>
    </xf>
    <xf numFmtId="1" fontId="3" fillId="6" borderId="9" xfId="1" applyNumberFormat="1" applyFont="1" applyFill="1" applyBorder="1" applyAlignment="1" applyProtection="1">
      <alignment horizontal="center" vertical="center"/>
      <protection locked="0"/>
    </xf>
    <xf numFmtId="1" fontId="3" fillId="6" borderId="1" xfId="1" applyNumberFormat="1" applyFont="1" applyFill="1" applyBorder="1" applyAlignment="1" applyProtection="1">
      <alignment horizontal="center" vertical="center"/>
      <protection locked="0"/>
    </xf>
    <xf numFmtId="0" fontId="39" fillId="2" borderId="0" xfId="0" applyFont="1" applyFill="1" applyAlignment="1">
      <alignment vertical="top"/>
    </xf>
    <xf numFmtId="9" fontId="3" fillId="6" borderId="8" xfId="1" applyFont="1" applyFill="1" applyBorder="1" applyAlignment="1" applyProtection="1">
      <alignment horizontal="center" vertical="center"/>
      <protection locked="0"/>
    </xf>
    <xf numFmtId="0" fontId="17" fillId="8" borderId="0" xfId="0" applyFont="1" applyFill="1" applyAlignment="1">
      <alignment horizontal="left" vertical="center" indent="1"/>
    </xf>
    <xf numFmtId="0" fontId="25" fillId="8" borderId="0" xfId="0" applyFont="1" applyFill="1" applyAlignment="1">
      <alignment vertical="center" wrapText="1"/>
    </xf>
    <xf numFmtId="0" fontId="17" fillId="8" borderId="0" xfId="0" applyFont="1" applyFill="1" applyAlignment="1">
      <alignment horizontal="left" vertical="center" wrapText="1" indent="1"/>
    </xf>
    <xf numFmtId="0" fontId="55" fillId="2" borderId="0" xfId="0" applyFont="1" applyFill="1" applyAlignment="1">
      <alignment horizontal="center" vertical="center" wrapText="1"/>
    </xf>
    <xf numFmtId="0" fontId="4" fillId="2" borderId="0" xfId="0" applyFont="1" applyFill="1" applyAlignment="1">
      <alignment horizontal="right" vertical="top"/>
    </xf>
    <xf numFmtId="0" fontId="0" fillId="4" borderId="0" xfId="0" applyFill="1" applyAlignment="1">
      <alignment horizontal="center" vertical="center"/>
    </xf>
    <xf numFmtId="0" fontId="0" fillId="5" borderId="0" xfId="0" applyFill="1" applyAlignment="1">
      <alignment horizontal="center" vertical="center"/>
    </xf>
    <xf numFmtId="0" fontId="0" fillId="2" borderId="0" xfId="0" applyFill="1" applyAlignment="1">
      <alignment horizontal="center" vertical="center"/>
    </xf>
    <xf numFmtId="0" fontId="29" fillId="0" borderId="0" xfId="0" applyFont="1" applyAlignment="1">
      <alignment horizontal="left" vertical="center"/>
    </xf>
    <xf numFmtId="167" fontId="50" fillId="11" borderId="29" xfId="0" applyNumberFormat="1" applyFont="1" applyFill="1" applyBorder="1" applyAlignment="1">
      <alignment horizontal="left" vertical="center"/>
    </xf>
    <xf numFmtId="0" fontId="36" fillId="4" borderId="0" xfId="0" applyFont="1" applyFill="1" applyAlignment="1">
      <alignment horizontal="left" vertical="center"/>
    </xf>
    <xf numFmtId="0" fontId="69" fillId="4" borderId="0" xfId="0" applyFont="1" applyFill="1" applyAlignment="1">
      <alignment horizontal="left" vertical="center"/>
    </xf>
    <xf numFmtId="0" fontId="36" fillId="0" borderId="0" xfId="0" applyFont="1"/>
    <xf numFmtId="0" fontId="45" fillId="0" borderId="0" xfId="0" applyFont="1" applyAlignment="1">
      <alignment horizontal="left" indent="1"/>
    </xf>
    <xf numFmtId="1" fontId="3" fillId="2" borderId="3" xfId="1" applyNumberFormat="1" applyFont="1" applyFill="1" applyBorder="1" applyAlignment="1" applyProtection="1">
      <alignment horizontal="right" indent="1"/>
      <protection locked="0"/>
    </xf>
    <xf numFmtId="0" fontId="70" fillId="5" borderId="0" xfId="0" applyFont="1" applyFill="1" applyAlignment="1">
      <alignment horizontal="left" wrapText="1" indent="3"/>
    </xf>
    <xf numFmtId="0" fontId="71" fillId="0" borderId="0" xfId="0" applyFont="1"/>
    <xf numFmtId="1" fontId="3" fillId="6" borderId="6" xfId="0" applyNumberFormat="1" applyFont="1" applyFill="1" applyBorder="1" applyAlignment="1" applyProtection="1">
      <alignment horizontal="center"/>
      <protection locked="0"/>
    </xf>
    <xf numFmtId="167" fontId="3" fillId="6" borderId="1" xfId="0" applyNumberFormat="1" applyFont="1" applyFill="1" applyBorder="1" applyAlignment="1" applyProtection="1">
      <alignment horizontal="center"/>
      <protection locked="0"/>
    </xf>
    <xf numFmtId="164" fontId="3" fillId="6" borderId="8" xfId="1" applyNumberFormat="1" applyFont="1" applyFill="1" applyBorder="1" applyAlignment="1" applyProtection="1">
      <alignment horizontal="center" vertical="center"/>
      <protection locked="0"/>
    </xf>
    <xf numFmtId="167" fontId="3" fillId="6" borderId="9" xfId="0" applyNumberFormat="1" applyFont="1" applyFill="1" applyBorder="1" applyAlignment="1" applyProtection="1">
      <alignment horizontal="center"/>
      <protection locked="0"/>
    </xf>
    <xf numFmtId="0" fontId="13" fillId="0" borderId="0" xfId="0" applyFont="1"/>
    <xf numFmtId="0" fontId="14" fillId="0" borderId="0" xfId="0" applyFont="1" applyAlignment="1">
      <alignment horizontal="left"/>
    </xf>
    <xf numFmtId="0" fontId="13" fillId="0" borderId="0" xfId="0" applyFont="1" applyAlignment="1">
      <alignment horizontal="left"/>
    </xf>
    <xf numFmtId="0" fontId="14" fillId="0" borderId="0" xfId="0" applyFont="1" applyAlignment="1">
      <alignment horizontal="left" indent="4"/>
    </xf>
    <xf numFmtId="166" fontId="13" fillId="0" borderId="0" xfId="0" applyNumberFormat="1" applyFont="1"/>
    <xf numFmtId="166" fontId="0" fillId="0" borderId="0" xfId="0" applyNumberFormat="1" applyAlignment="1">
      <alignment vertical="center"/>
    </xf>
    <xf numFmtId="0" fontId="72" fillId="2" borderId="0" xfId="0" applyFont="1" applyFill="1" applyAlignment="1">
      <alignment horizontal="left"/>
    </xf>
    <xf numFmtId="0" fontId="21" fillId="8" borderId="0" xfId="0" applyFont="1" applyFill="1" applyAlignment="1">
      <alignment vertical="center" wrapText="1"/>
    </xf>
    <xf numFmtId="165" fontId="3" fillId="6" borderId="10" xfId="1" applyNumberFormat="1" applyFont="1" applyFill="1" applyBorder="1" applyAlignment="1" applyProtection="1">
      <alignment horizontal="center"/>
      <protection locked="0"/>
    </xf>
    <xf numFmtId="0" fontId="39" fillId="2" borderId="0" xfId="0" applyFont="1" applyFill="1" applyAlignment="1">
      <alignment horizontal="left" vertical="top" wrapText="1"/>
    </xf>
    <xf numFmtId="0" fontId="41" fillId="0" borderId="0" xfId="0" applyFont="1" applyAlignment="1">
      <alignment wrapText="1"/>
    </xf>
    <xf numFmtId="0" fontId="0" fillId="8" borderId="0" xfId="0" applyFill="1" applyAlignment="1">
      <alignment horizontal="left" vertical="center"/>
    </xf>
    <xf numFmtId="1" fontId="3" fillId="6" borderId="9" xfId="0" applyNumberFormat="1" applyFont="1" applyFill="1" applyBorder="1" applyAlignment="1" applyProtection="1">
      <alignment horizontal="center"/>
      <protection locked="0"/>
    </xf>
    <xf numFmtId="165" fontId="3" fillId="6" borderId="2" xfId="1" applyNumberFormat="1" applyFont="1" applyFill="1" applyBorder="1" applyAlignment="1" applyProtection="1">
      <alignment horizontal="center"/>
      <protection locked="0"/>
    </xf>
    <xf numFmtId="165" fontId="3" fillId="6" borderId="11" xfId="1" applyNumberFormat="1" applyFont="1" applyFill="1" applyBorder="1" applyAlignment="1" applyProtection="1">
      <alignment horizontal="center"/>
      <protection locked="0"/>
    </xf>
    <xf numFmtId="0" fontId="55" fillId="2" borderId="0" xfId="0" applyFont="1" applyFill="1" applyAlignment="1">
      <alignment horizontal="left" vertical="center" wrapText="1"/>
    </xf>
    <xf numFmtId="44" fontId="3" fillId="6" borderId="9" xfId="0" applyNumberFormat="1" applyFont="1" applyFill="1" applyBorder="1" applyAlignment="1" applyProtection="1">
      <alignment horizontal="center" vertical="center"/>
      <protection locked="0"/>
    </xf>
    <xf numFmtId="44" fontId="3" fillId="6" borderId="1" xfId="0" applyNumberFormat="1" applyFont="1" applyFill="1" applyBorder="1" applyAlignment="1" applyProtection="1">
      <alignment horizontal="center" vertical="center"/>
      <protection locked="0"/>
    </xf>
    <xf numFmtId="44" fontId="3" fillId="6" borderId="5" xfId="0" applyNumberFormat="1" applyFont="1" applyFill="1" applyBorder="1" applyAlignment="1" applyProtection="1">
      <alignment horizontal="center" vertical="center"/>
      <protection locked="0"/>
    </xf>
    <xf numFmtId="1" fontId="3" fillId="6" borderId="6" xfId="0" applyNumberFormat="1" applyFont="1" applyFill="1" applyBorder="1" applyAlignment="1" applyProtection="1">
      <alignment horizontal="left" vertical="center" indent="1"/>
      <protection locked="0"/>
    </xf>
    <xf numFmtId="0" fontId="64" fillId="0" borderId="0" xfId="0" applyFont="1" applyAlignment="1" applyProtection="1">
      <alignment horizontal="right" indent="2"/>
      <protection locked="0"/>
      <extLst>
        <ext xmlns:xfpb="http://schemas.microsoft.com/office/spreadsheetml/2022/featurepropertybag" uri="{C7286773-470A-42A8-94C5-96B5CB345126}">
          <xfpb:xfComplement i="0"/>
        </ext>
      </extLst>
    </xf>
    <xf numFmtId="0" fontId="0" fillId="2" borderId="0" xfId="0" applyFill="1" applyAlignment="1">
      <alignment horizontal="right" vertical="top" wrapText="1" indent="1"/>
    </xf>
    <xf numFmtId="0" fontId="0" fillId="2" borderId="0" xfId="0" applyFill="1" applyAlignment="1">
      <alignment vertical="top" wrapText="1"/>
    </xf>
    <xf numFmtId="0" fontId="25" fillId="8" borderId="0" xfId="0" applyFont="1" applyFill="1" applyAlignment="1">
      <alignment horizontal="left" vertical="top" wrapText="1"/>
    </xf>
    <xf numFmtId="0" fontId="33" fillId="8" borderId="0" xfId="0" applyFont="1" applyFill="1" applyAlignment="1">
      <alignment horizontal="left" vertical="top" wrapText="1"/>
    </xf>
    <xf numFmtId="0" fontId="26" fillId="8" borderId="0" xfId="0" applyFont="1" applyFill="1" applyAlignment="1">
      <alignment horizontal="left" vertical="top"/>
    </xf>
    <xf numFmtId="0" fontId="25" fillId="8" borderId="0" xfId="0" applyFont="1" applyFill="1" applyAlignment="1">
      <alignment vertical="top" wrapText="1"/>
    </xf>
    <xf numFmtId="0" fontId="33" fillId="8" borderId="0" xfId="0" applyFont="1" applyFill="1" applyAlignment="1">
      <alignment horizontal="right" wrapText="1"/>
    </xf>
    <xf numFmtId="0" fontId="0" fillId="2" borderId="0" xfId="0" applyFill="1" applyAlignment="1">
      <alignment horizontal="center"/>
    </xf>
    <xf numFmtId="0" fontId="36" fillId="5" borderId="0" xfId="0" applyFont="1" applyFill="1" applyAlignment="1">
      <alignment horizontal="center" vertical="center" wrapText="1"/>
    </xf>
    <xf numFmtId="0" fontId="0" fillId="5" borderId="0" xfId="0" applyFill="1" applyAlignment="1">
      <alignment horizontal="center" vertical="center" wrapText="1"/>
    </xf>
    <xf numFmtId="0" fontId="49" fillId="0" borderId="23" xfId="0" applyFont="1" applyBorder="1" applyAlignment="1" applyProtection="1">
      <alignment horizontal="left" vertical="top" wrapText="1" indent="1"/>
      <protection locked="0"/>
    </xf>
    <xf numFmtId="0" fontId="49" fillId="0" borderId="0" xfId="0" applyFont="1" applyAlignment="1" applyProtection="1">
      <alignment horizontal="left" vertical="top" wrapText="1" indent="1"/>
      <protection locked="0"/>
    </xf>
    <xf numFmtId="0" fontId="49" fillId="0" borderId="24" xfId="0" applyFont="1" applyBorder="1" applyAlignment="1" applyProtection="1">
      <alignment horizontal="left" vertical="top" wrapText="1" indent="1"/>
      <protection locked="0"/>
    </xf>
    <xf numFmtId="0" fontId="49" fillId="0" borderId="25" xfId="0" applyFont="1" applyBorder="1" applyAlignment="1" applyProtection="1">
      <alignment horizontal="left" vertical="top" wrapText="1" indent="1"/>
      <protection locked="0"/>
    </xf>
    <xf numFmtId="0" fontId="49" fillId="0" borderId="26" xfId="0" applyFont="1" applyBorder="1" applyAlignment="1" applyProtection="1">
      <alignment horizontal="left" vertical="top" wrapText="1" indent="1"/>
      <protection locked="0"/>
    </xf>
    <xf numFmtId="0" fontId="49" fillId="0" borderId="27" xfId="0" applyFont="1" applyBorder="1" applyAlignment="1" applyProtection="1">
      <alignment horizontal="left" vertical="top" wrapText="1" indent="1"/>
      <protection locked="0"/>
    </xf>
    <xf numFmtId="0" fontId="49" fillId="0" borderId="20" xfId="0" applyFont="1" applyBorder="1" applyAlignment="1" applyProtection="1">
      <alignment horizontal="left" vertical="top" wrapText="1" indent="1"/>
      <protection locked="0"/>
    </xf>
    <xf numFmtId="0" fontId="49" fillId="0" borderId="21" xfId="0" applyFont="1" applyBorder="1" applyAlignment="1" applyProtection="1">
      <alignment horizontal="left" vertical="top" wrapText="1" indent="1"/>
      <protection locked="0"/>
    </xf>
    <xf numFmtId="0" fontId="49" fillId="0" borderId="22" xfId="0" applyFont="1" applyBorder="1" applyAlignment="1" applyProtection="1">
      <alignment horizontal="left" vertical="top" wrapText="1" indent="1"/>
      <protection locked="0"/>
    </xf>
    <xf numFmtId="0" fontId="41" fillId="0" borderId="0" xfId="0" applyFont="1" applyAlignment="1">
      <alignment horizontal="left" wrapText="1" indent="2"/>
    </xf>
    <xf numFmtId="0" fontId="21" fillId="8" borderId="0" xfId="0" applyFont="1" applyFill="1" applyAlignment="1">
      <alignment horizontal="left" vertical="center" wrapText="1"/>
    </xf>
    <xf numFmtId="0" fontId="63" fillId="8" borderId="0" xfId="0" applyFont="1" applyFill="1" applyAlignment="1">
      <alignment horizontal="left" vertical="center" wrapText="1"/>
    </xf>
    <xf numFmtId="0" fontId="62" fillId="8" borderId="0" xfId="0" applyFont="1" applyFill="1" applyAlignment="1">
      <alignment horizontal="left" vertical="center" wrapText="1"/>
    </xf>
    <xf numFmtId="0" fontId="41" fillId="0" borderId="0" xfId="0" applyFont="1" applyAlignment="1">
      <alignment horizontal="left" vertical="top" wrapText="1" indent="2"/>
    </xf>
    <xf numFmtId="0" fontId="63" fillId="8" borderId="0" xfId="0" applyFont="1" applyFill="1" applyAlignment="1">
      <alignment horizontal="left" vertical="top" wrapText="1"/>
    </xf>
    <xf numFmtId="0" fontId="21" fillId="8" borderId="0" xfId="0" applyFont="1" applyFill="1" applyAlignment="1">
      <alignment horizontal="left" vertical="center"/>
    </xf>
    <xf numFmtId="0" fontId="39" fillId="2" borderId="0" xfId="0" applyFont="1" applyFill="1" applyAlignment="1">
      <alignment horizontal="left" vertical="top" wrapText="1"/>
    </xf>
    <xf numFmtId="167" fontId="3" fillId="6" borderId="6" xfId="0" applyNumberFormat="1" applyFont="1" applyFill="1" applyBorder="1" applyAlignment="1" applyProtection="1">
      <alignment horizontal="center"/>
      <protection locked="0"/>
    </xf>
    <xf numFmtId="167" fontId="3" fillId="6" borderId="8" xfId="0" applyNumberFormat="1" applyFont="1" applyFill="1" applyBorder="1" applyAlignment="1" applyProtection="1">
      <alignment horizontal="center"/>
      <protection locked="0"/>
    </xf>
    <xf numFmtId="165" fontId="3" fillId="6" borderId="10" xfId="1" applyNumberFormat="1" applyFont="1" applyFill="1" applyBorder="1" applyAlignment="1" applyProtection="1">
      <alignment horizontal="center"/>
      <protection locked="0"/>
    </xf>
    <xf numFmtId="165" fontId="3" fillId="6" borderId="8" xfId="1" applyNumberFormat="1" applyFont="1" applyFill="1" applyBorder="1" applyAlignment="1" applyProtection="1">
      <alignment horizontal="center"/>
      <protection locked="0"/>
    </xf>
    <xf numFmtId="0" fontId="55" fillId="2" borderId="0" xfId="0" applyFont="1" applyFill="1" applyAlignment="1">
      <alignment horizontal="center" vertical="top" wrapText="1"/>
    </xf>
    <xf numFmtId="0" fontId="73" fillId="8" borderId="0" xfId="0" applyFont="1" applyFill="1" applyAlignment="1">
      <alignment horizontal="left" vertical="center" wrapText="1"/>
    </xf>
    <xf numFmtId="0" fontId="21" fillId="8" borderId="0" xfId="0" applyFont="1" applyFill="1" applyAlignment="1">
      <alignment vertical="center" wrapText="1"/>
    </xf>
    <xf numFmtId="0" fontId="21" fillId="8" borderId="0" xfId="0" applyFont="1" applyFill="1" applyAlignment="1">
      <alignment horizontal="left" vertical="top" wrapText="1" indent="1"/>
    </xf>
    <xf numFmtId="0" fontId="21" fillId="8" borderId="0" xfId="0" applyFont="1" applyFill="1" applyAlignment="1">
      <alignment horizontal="left" vertical="top" wrapText="1"/>
    </xf>
    <xf numFmtId="167" fontId="3" fillId="6" borderId="6" xfId="0" applyNumberFormat="1" applyFont="1" applyFill="1" applyBorder="1" applyAlignment="1" applyProtection="1">
      <alignment horizontal="left" indent="1"/>
      <protection locked="0"/>
    </xf>
    <xf numFmtId="167" fontId="3" fillId="6" borderId="8" xfId="0" applyNumberFormat="1" applyFont="1" applyFill="1" applyBorder="1" applyAlignment="1" applyProtection="1">
      <alignment horizontal="left" indent="1"/>
      <protection locked="0"/>
    </xf>
    <xf numFmtId="0" fontId="55" fillId="2" borderId="0" xfId="0" applyFont="1" applyFill="1" applyAlignment="1">
      <alignment horizontal="left" vertical="center" wrapText="1"/>
    </xf>
    <xf numFmtId="0" fontId="4" fillId="2" borderId="0" xfId="0" applyFont="1" applyFill="1" applyAlignment="1">
      <alignment horizontal="center" vertical="top" wrapText="1"/>
    </xf>
    <xf numFmtId="0" fontId="16" fillId="8" borderId="0" xfId="0" applyFont="1" applyFill="1" applyAlignment="1">
      <alignment horizontal="center" vertical="center" wrapText="1"/>
    </xf>
    <xf numFmtId="0" fontId="16" fillId="8" borderId="0" xfId="0" applyFont="1" applyFill="1" applyAlignment="1">
      <alignment horizontal="left"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3" fillId="6" borderId="10" xfId="0" applyFont="1" applyFill="1" applyBorder="1" applyAlignment="1" applyProtection="1">
      <alignment horizontal="center"/>
      <protection locked="0"/>
    </xf>
    <xf numFmtId="0" fontId="3" fillId="6" borderId="8" xfId="0" applyFont="1" applyFill="1" applyBorder="1" applyAlignment="1" applyProtection="1">
      <alignment horizontal="center"/>
      <protection locked="0"/>
    </xf>
  </cellXfs>
  <cellStyles count="3">
    <cellStyle name="Hyperkobling" xfId="2" builtinId="8"/>
    <cellStyle name="Normal" xfId="0" builtinId="0"/>
    <cellStyle name="Prosent" xfId="1" builtinId="5"/>
  </cellStyles>
  <dxfs count="37">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ill>
        <patternFill>
          <bgColor theme="0"/>
        </patternFill>
      </fill>
    </dxf>
    <dxf>
      <font>
        <color rgb="FFF15540"/>
      </font>
    </dxf>
    <dxf>
      <font>
        <color rgb="FFF15540"/>
      </font>
    </dxf>
    <dxf>
      <font>
        <color rgb="FFF15540"/>
      </font>
    </dxf>
    <dxf>
      <font>
        <color rgb="FFF15540"/>
      </font>
    </dxf>
    <dxf>
      <font>
        <color rgb="FFF15540"/>
      </font>
    </dxf>
    <dxf>
      <font>
        <color rgb="FFF15540"/>
      </font>
    </dxf>
    <dxf>
      <fill>
        <patternFill>
          <bgColor rgb="FFE4EFE4"/>
        </patternFill>
      </fill>
    </dxf>
    <dxf>
      <fill>
        <patternFill>
          <bgColor theme="0"/>
        </patternFill>
      </fill>
    </dxf>
    <dxf>
      <font>
        <color rgb="FFF15540"/>
      </font>
    </dxf>
    <dxf>
      <fill>
        <patternFill>
          <bgColor rgb="FFE4EFE4"/>
        </patternFill>
      </fill>
    </dxf>
    <dxf>
      <fill>
        <patternFill>
          <bgColor theme="0"/>
        </patternFill>
      </fill>
    </dxf>
    <dxf>
      <font>
        <color rgb="FFF15540"/>
      </font>
    </dxf>
    <dxf>
      <fill>
        <patternFill>
          <bgColor rgb="FFE4EFE4"/>
        </patternFill>
      </fill>
    </dxf>
    <dxf>
      <fill>
        <patternFill>
          <bgColor theme="0"/>
        </patternFill>
      </fill>
    </dxf>
    <dxf>
      <font>
        <color rgb="FFF15540"/>
      </font>
    </dxf>
    <dxf>
      <fill>
        <patternFill>
          <bgColor rgb="FFE4EFE4"/>
        </patternFill>
      </fill>
    </dxf>
    <dxf>
      <fill>
        <patternFill>
          <bgColor theme="0"/>
        </patternFill>
      </fill>
    </dxf>
    <dxf>
      <font>
        <color rgb="FFF15540"/>
      </font>
    </dxf>
    <dxf>
      <fill>
        <patternFill>
          <bgColor rgb="FFE4EFE4"/>
        </patternFill>
      </fill>
    </dxf>
    <dxf>
      <fill>
        <patternFill>
          <bgColor theme="0"/>
        </patternFill>
      </fill>
    </dxf>
    <dxf>
      <font>
        <color rgb="FFF15540"/>
      </font>
    </dxf>
    <dxf>
      <font>
        <color rgb="FFF15540"/>
      </font>
    </dxf>
    <dxf>
      <font>
        <color rgb="FFF15540"/>
      </font>
    </dxf>
    <dxf>
      <font>
        <color rgb="FFF15540"/>
      </font>
    </dxf>
    <dxf>
      <font>
        <color rgb="FFF15540"/>
      </font>
    </dxf>
    <dxf>
      <font>
        <color rgb="FFF15540"/>
      </font>
    </dxf>
    <dxf>
      <font>
        <color rgb="FFF15540"/>
      </font>
    </dxf>
    <dxf>
      <font>
        <color rgb="FFF15540"/>
      </font>
    </dxf>
    <dxf>
      <font>
        <color rgb="FFF15540"/>
      </font>
    </dxf>
    <dxf>
      <font>
        <color rgb="FFF15540"/>
      </font>
    </dxf>
  </dxfs>
  <tableStyles count="0" defaultTableStyle="TableStyleMedium2" defaultPivotStyle="PivotStyleLight16"/>
  <colors>
    <mruColors>
      <color rgb="FFF2E7E7"/>
      <color rgb="FFE4EFE4"/>
      <color rgb="FFF15540"/>
      <color rgb="FF418541"/>
      <color rgb="FFFFF8E6"/>
      <color rgb="FFBFBFBF"/>
      <color rgb="FFF2EFED"/>
      <color rgb="FF50A450"/>
      <color rgb="FF282828"/>
      <color rgb="FF356D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22/11/relationships/FeaturePropertyBag" Target="featurePropertyBag/featurePropertyBag.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drawing1.xml><?xml version="1.0" encoding="utf-8"?>
<xdr:wsDr xmlns:xdr="http://schemas.openxmlformats.org/drawingml/2006/spreadsheetDrawing" xmlns:a="http://schemas.openxmlformats.org/drawingml/2006/main">
  <xdr:twoCellAnchor>
    <xdr:from>
      <xdr:col>2</xdr:col>
      <xdr:colOff>390525</xdr:colOff>
      <xdr:row>19</xdr:row>
      <xdr:rowOff>35700</xdr:rowOff>
    </xdr:from>
    <xdr:to>
      <xdr:col>2</xdr:col>
      <xdr:colOff>680625</xdr:colOff>
      <xdr:row>22</xdr:row>
      <xdr:rowOff>2250</xdr:rowOff>
    </xdr:to>
    <xdr:grpSp>
      <xdr:nvGrpSpPr>
        <xdr:cNvPr id="2" name="Gruppe 1">
          <a:extLst>
            <a:ext uri="{FF2B5EF4-FFF2-40B4-BE49-F238E27FC236}">
              <a16:creationId xmlns:a16="http://schemas.microsoft.com/office/drawing/2014/main" id="{0C6B0225-9F36-4E15-9924-679FE38ED374}"/>
            </a:ext>
          </a:extLst>
        </xdr:cNvPr>
        <xdr:cNvGrpSpPr/>
      </xdr:nvGrpSpPr>
      <xdr:grpSpPr>
        <a:xfrm>
          <a:off x="771525" y="5655450"/>
          <a:ext cx="290100" cy="995250"/>
          <a:chOff x="771525" y="4169550"/>
          <a:chExt cx="290100" cy="938100"/>
        </a:xfrm>
      </xdr:grpSpPr>
      <xdr:grpSp>
        <xdr:nvGrpSpPr>
          <xdr:cNvPr id="3" name="Gruppe 2">
            <a:extLst>
              <a:ext uri="{FF2B5EF4-FFF2-40B4-BE49-F238E27FC236}">
                <a16:creationId xmlns:a16="http://schemas.microsoft.com/office/drawing/2014/main" id="{67D4D844-D908-366D-2746-7AAD2A25CDB2}"/>
              </a:ext>
            </a:extLst>
          </xdr:cNvPr>
          <xdr:cNvGrpSpPr/>
        </xdr:nvGrpSpPr>
        <xdr:grpSpPr>
          <a:xfrm>
            <a:off x="771525" y="4505325"/>
            <a:ext cx="290100" cy="602325"/>
            <a:chOff x="771525" y="4505325"/>
            <a:chExt cx="290100" cy="602325"/>
          </a:xfrm>
        </xdr:grpSpPr>
        <xdr:pic>
          <xdr:nvPicPr>
            <xdr:cNvPr id="5" name="Grafikk 4" descr="E-post med heldekkende fyll">
              <a:extLst>
                <a:ext uri="{FF2B5EF4-FFF2-40B4-BE49-F238E27FC236}">
                  <a16:creationId xmlns:a16="http://schemas.microsoft.com/office/drawing/2014/main" id="{D26D9DE4-C396-29A0-C78C-A4DED3D049D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09625" y="4505325"/>
              <a:ext cx="252000" cy="252000"/>
            </a:xfrm>
            <a:prstGeom prst="rect">
              <a:avLst/>
            </a:prstGeom>
          </xdr:spPr>
        </xdr:pic>
        <xdr:pic>
          <xdr:nvPicPr>
            <xdr:cNvPr id="6" name="Grafikk 5" descr="Kundeservice med heldekkende fyll">
              <a:extLst>
                <a:ext uri="{FF2B5EF4-FFF2-40B4-BE49-F238E27FC236}">
                  <a16:creationId xmlns:a16="http://schemas.microsoft.com/office/drawing/2014/main" id="{71AFB60D-8009-78C5-63A0-CCA5D10EDAD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771525" y="4819650"/>
              <a:ext cx="288000" cy="288000"/>
            </a:xfrm>
            <a:prstGeom prst="rect">
              <a:avLst/>
            </a:prstGeom>
          </xdr:spPr>
        </xdr:pic>
      </xdr:grpSp>
      <xdr:pic>
        <xdr:nvPicPr>
          <xdr:cNvPr id="4" name="Grafikk 3" descr="Verden med heldekkende fyll">
            <a:extLst>
              <a:ext uri="{FF2B5EF4-FFF2-40B4-BE49-F238E27FC236}">
                <a16:creationId xmlns:a16="http://schemas.microsoft.com/office/drawing/2014/main" id="{41F1FBE8-3049-AD5E-9965-1BBC58FFE20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807225" y="4169550"/>
            <a:ext cx="252000" cy="252000"/>
          </a:xfrm>
          <a:prstGeom prst="rect">
            <a:avLst/>
          </a:prstGeom>
        </xdr:spPr>
      </xdr:pic>
    </xdr:grpSp>
    <xdr:clientData/>
  </xdr:twoCellAnchor>
  <xdr:twoCellAnchor editAs="oneCell">
    <xdr:from>
      <xdr:col>4</xdr:col>
      <xdr:colOff>19051</xdr:colOff>
      <xdr:row>11</xdr:row>
      <xdr:rowOff>62763</xdr:rowOff>
    </xdr:from>
    <xdr:to>
      <xdr:col>5</xdr:col>
      <xdr:colOff>1</xdr:colOff>
      <xdr:row>11</xdr:row>
      <xdr:rowOff>954433</xdr:rowOff>
    </xdr:to>
    <xdr:pic>
      <xdr:nvPicPr>
        <xdr:cNvPr id="20" name="Bilde 19">
          <a:extLst>
            <a:ext uri="{FF2B5EF4-FFF2-40B4-BE49-F238E27FC236}">
              <a16:creationId xmlns:a16="http://schemas.microsoft.com/office/drawing/2014/main" id="{876DD4A7-4B9A-5A94-C559-C41E9B8A05F8}"/>
            </a:ext>
          </a:extLst>
        </xdr:cNvPr>
        <xdr:cNvPicPr>
          <a:picLocks noChangeAspect="1"/>
        </xdr:cNvPicPr>
      </xdr:nvPicPr>
      <xdr:blipFill>
        <a:blip xmlns:r="http://schemas.openxmlformats.org/officeDocument/2006/relationships" r:embed="rId7"/>
        <a:stretch>
          <a:fillRect/>
        </a:stretch>
      </xdr:blipFill>
      <xdr:spPr>
        <a:xfrm>
          <a:off x="5753101" y="3196488"/>
          <a:ext cx="1314450" cy="89167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upport.imdinett.n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skatteetaten.no/satser/arbeidsgiveravgift-soneinndel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katteetaten.no/satser/arbeidsgiveravgift-soneinndeling/" TargetMode="External"/><Relationship Id="rId2" Type="http://schemas.openxmlformats.org/officeDocument/2006/relationships/hyperlink" Target="https://www.skatteetaten.no/satser/arbeidsgiveravgift-soneinndeling/" TargetMode="External"/><Relationship Id="rId1" Type="http://schemas.openxmlformats.org/officeDocument/2006/relationships/hyperlink" Target="https://www.skatteetaten.no/satser/arbeidsgiveravgift-soneinndeling/" TargetMode="External"/><Relationship Id="rId6" Type="http://schemas.openxmlformats.org/officeDocument/2006/relationships/printerSettings" Target="../printerSettings/printerSettings1.bin"/><Relationship Id="rId5" Type="http://schemas.openxmlformats.org/officeDocument/2006/relationships/hyperlink" Target="https://www.skatteetaten.no/satser/arbeidsgiveravgift-soneinndeling/" TargetMode="External"/><Relationship Id="rId4" Type="http://schemas.openxmlformats.org/officeDocument/2006/relationships/hyperlink" Target="https://www.skatteetaten.no/satser/arbeidsgiveravgift-soneinndel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skatteetaten.no/satser/arbeidsgiveravgift-soneinndeling/" TargetMode="External"/><Relationship Id="rId3" Type="http://schemas.openxmlformats.org/officeDocument/2006/relationships/hyperlink" Target="https://www.ks.no/globalassets/fagomrader/lonn-og-tariff/Vedlegg-1-til-SFS-2213-justert-pr-010821.pdf" TargetMode="External"/><Relationship Id="rId7" Type="http://schemas.openxmlformats.org/officeDocument/2006/relationships/hyperlink" Target="https://www.ks.no/globalassets/fagomrader/lonn-og-tariff/Vedlegg-1-til-SFS-2213-justert-pr-010821.pdf" TargetMode="External"/><Relationship Id="rId12" Type="http://schemas.openxmlformats.org/officeDocument/2006/relationships/vmlDrawing" Target="../drawings/vmlDrawing1.vml"/><Relationship Id="rId2" Type="http://schemas.openxmlformats.org/officeDocument/2006/relationships/hyperlink" Target="https://www.skatteetaten.no/satser/arbeidsgiveravgift-soneinndeling/" TargetMode="External"/><Relationship Id="rId1" Type="http://schemas.openxmlformats.org/officeDocument/2006/relationships/hyperlink" Target="https://www.ks.no/globalassets/fagomrader/lonn-og-tariff/Vedlegg-1-til-SFS-2213-justert-pr-010821.pdf" TargetMode="External"/><Relationship Id="rId6" Type="http://schemas.openxmlformats.org/officeDocument/2006/relationships/hyperlink" Target="https://www.skatteetaten.no/satser/arbeidsgiveravgift-soneinndeling/" TargetMode="External"/><Relationship Id="rId11" Type="http://schemas.openxmlformats.org/officeDocument/2006/relationships/printerSettings" Target="../printerSettings/printerSettings2.bin"/><Relationship Id="rId5" Type="http://schemas.openxmlformats.org/officeDocument/2006/relationships/hyperlink" Target="https://www.ks.no/globalassets/fagomrader/lonn-og-tariff/Vedlegg-1-til-SFS-2213-justert-pr-010821.pdf" TargetMode="External"/><Relationship Id="rId10" Type="http://schemas.openxmlformats.org/officeDocument/2006/relationships/hyperlink" Target="https://www.skatteetaten.no/satser/arbeidsgiveravgift-soneinndeling/" TargetMode="External"/><Relationship Id="rId4" Type="http://schemas.openxmlformats.org/officeDocument/2006/relationships/hyperlink" Target="https://www.skatteetaten.no/satser/arbeidsgiveravgift-soneinndeling/" TargetMode="External"/><Relationship Id="rId9" Type="http://schemas.openxmlformats.org/officeDocument/2006/relationships/hyperlink" Target="https://www.ks.no/globalassets/fagomrader/lonn-og-tariff/Vedlegg-1-til-SFS-2213-justert-pr-010821.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ks.no/fagomrader/barn-og-unge/barnevern/veiledende-satser-for-fosterhjem-og-besokshjem-2025/" TargetMode="External"/><Relationship Id="rId3" Type="http://schemas.openxmlformats.org/officeDocument/2006/relationships/hyperlink" Target="https://www.regjeringen.no/no/dokumenter/satser-for-kommunal-egenbetaling-for-statlige-barnevernstiltak-2023/id2953174/" TargetMode="External"/><Relationship Id="rId7" Type="http://schemas.openxmlformats.org/officeDocument/2006/relationships/hyperlink" Target="https://www.regjeringen.no/no/dokumenter/satser-for-kommunal-egenbetaling-for-statlige-barnevernstiltak-2025/id3080096/" TargetMode="External"/><Relationship Id="rId2" Type="http://schemas.openxmlformats.org/officeDocument/2006/relationships/hyperlink" Target="https://www.regjeringen.no/no/dokumenter/satser-for-kommunal-egenbetaling-for-statlige-barnevernstiltak-2024/id3020128/" TargetMode="External"/><Relationship Id="rId1" Type="http://schemas.openxmlformats.org/officeDocument/2006/relationships/hyperlink" Target="https://www.regjeringen.no/no/dokumenter/satser-for-kommunal-egenbetaling-for-barnevernstiltak-2022/id2902438/" TargetMode="External"/><Relationship Id="rId6" Type="http://schemas.openxmlformats.org/officeDocument/2006/relationships/hyperlink" Target="https://www.ks.no/arkiv/veiledende-satser-for-fosterhjem-og-besokshjem-2022/" TargetMode="External"/><Relationship Id="rId5" Type="http://schemas.openxmlformats.org/officeDocument/2006/relationships/hyperlink" Target="https://www.ks.no/arkiv/veiledende-satser-for-fosterhjem-og-besokshjem-2023/" TargetMode="External"/><Relationship Id="rId4" Type="http://schemas.openxmlformats.org/officeDocument/2006/relationships/hyperlink" Target="https://www.ks.no/fagomrader/barn-og-unge/barnevern/veiledende-satser-for-fosterhjem-og-besokshjem-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8062-CDD9-41FB-A934-5C023F2C94F8}">
  <sheetPr>
    <tabColor theme="1" tint="0.249977111117893"/>
  </sheetPr>
  <dimension ref="A1:I43"/>
  <sheetViews>
    <sheetView tabSelected="1" workbookViewId="0">
      <selection activeCell="D36" sqref="D36"/>
    </sheetView>
  </sheetViews>
  <sheetFormatPr baseColWidth="10" defaultColWidth="0" defaultRowHeight="15" customHeight="1" zeroHeight="1" x14ac:dyDescent="0.25"/>
  <cols>
    <col min="1" max="1" width="1.42578125" customWidth="1"/>
    <col min="2" max="2" width="4.28515625" customWidth="1"/>
    <col min="3" max="3" width="11.42578125" customWidth="1"/>
    <col min="4" max="4" width="68.85546875" customWidth="1"/>
    <col min="5" max="5" width="20" customWidth="1"/>
    <col min="6" max="7" width="11.42578125" customWidth="1"/>
    <col min="8" max="8" width="4.28515625" customWidth="1"/>
    <col min="9" max="9" width="1.42578125" customWidth="1"/>
    <col min="10" max="16384" width="11.42578125" hidden="1"/>
  </cols>
  <sheetData>
    <row r="1" spans="1:9" ht="39" x14ac:dyDescent="0.25">
      <c r="A1" s="8"/>
      <c r="B1" s="8"/>
      <c r="C1" s="112" t="s">
        <v>0</v>
      </c>
      <c r="D1" s="18"/>
      <c r="E1" s="18"/>
      <c r="F1" s="106"/>
      <c r="G1" s="106"/>
      <c r="H1" s="8"/>
      <c r="I1" s="8"/>
    </row>
    <row r="2" spans="1:9" x14ac:dyDescent="0.25">
      <c r="A2" s="8"/>
      <c r="B2" s="9"/>
      <c r="C2" s="9"/>
      <c r="D2" s="9"/>
      <c r="E2" s="9"/>
      <c r="F2" s="9"/>
      <c r="G2" s="9"/>
      <c r="H2" s="9"/>
      <c r="I2" s="8"/>
    </row>
    <row r="3" spans="1:9" ht="24" x14ac:dyDescent="0.25">
      <c r="A3" s="8"/>
      <c r="B3" s="9"/>
      <c r="C3" s="99" t="s">
        <v>1</v>
      </c>
      <c r="D3" s="77"/>
      <c r="E3" s="77"/>
      <c r="F3" s="76"/>
      <c r="G3" s="76"/>
      <c r="H3" s="9"/>
      <c r="I3" s="8"/>
    </row>
    <row r="4" spans="1:9" x14ac:dyDescent="0.25">
      <c r="A4" s="8"/>
      <c r="B4" s="9"/>
      <c r="C4" s="54"/>
      <c r="D4" s="54"/>
      <c r="E4" s="54"/>
      <c r="F4" s="54"/>
      <c r="G4" s="54"/>
      <c r="H4" s="9"/>
      <c r="I4" s="8"/>
    </row>
    <row r="5" spans="1:9" x14ac:dyDescent="0.25">
      <c r="A5" s="8"/>
      <c r="B5" s="9"/>
      <c r="C5" s="97"/>
      <c r="D5" s="97"/>
      <c r="E5" s="97"/>
      <c r="F5" s="97"/>
      <c r="G5" s="97"/>
      <c r="H5" s="9"/>
      <c r="I5" s="8"/>
    </row>
    <row r="6" spans="1:9" x14ac:dyDescent="0.25">
      <c r="A6" s="8"/>
      <c r="B6" s="9"/>
      <c r="C6" s="97"/>
      <c r="D6" s="97"/>
      <c r="E6" s="97"/>
      <c r="F6" s="97"/>
      <c r="G6" s="97"/>
      <c r="H6" s="9"/>
      <c r="I6" s="8"/>
    </row>
    <row r="7" spans="1:9" ht="24.75" customHeight="1" thickBot="1" x14ac:dyDescent="0.3">
      <c r="A7" s="8"/>
      <c r="B7" s="9"/>
      <c r="C7" s="101">
        <v>1</v>
      </c>
      <c r="D7" s="98" t="s">
        <v>2</v>
      </c>
      <c r="E7" s="15"/>
      <c r="F7" s="97"/>
      <c r="G7" s="97"/>
      <c r="H7" s="9"/>
      <c r="I7" s="8"/>
    </row>
    <row r="8" spans="1:9" ht="24.75" customHeight="1" thickTop="1" x14ac:dyDescent="0.25">
      <c r="A8" s="8"/>
      <c r="B8" s="9"/>
      <c r="C8" s="101">
        <v>2</v>
      </c>
      <c r="D8" s="98" t="s">
        <v>3</v>
      </c>
      <c r="E8" s="151" t="s">
        <v>4</v>
      </c>
      <c r="F8" s="97"/>
      <c r="G8" s="97"/>
      <c r="H8" s="9"/>
      <c r="I8" s="8"/>
    </row>
    <row r="9" spans="1:9" ht="24.75" customHeight="1" x14ac:dyDescent="0.25">
      <c r="A9" s="8"/>
      <c r="B9" s="9"/>
      <c r="C9" s="101">
        <v>3</v>
      </c>
      <c r="D9" s="98" t="s">
        <v>5</v>
      </c>
      <c r="E9" s="150" t="s">
        <v>6</v>
      </c>
      <c r="F9" s="97"/>
      <c r="G9" s="97"/>
      <c r="H9" s="9"/>
      <c r="I9" s="8"/>
    </row>
    <row r="10" spans="1:9" ht="24.75" customHeight="1" x14ac:dyDescent="0.25">
      <c r="A10" s="8"/>
      <c r="B10" s="9"/>
      <c r="C10" s="101">
        <v>4</v>
      </c>
      <c r="D10" s="98" t="s">
        <v>7</v>
      </c>
      <c r="E10" s="152" t="s">
        <v>8</v>
      </c>
      <c r="F10" s="97"/>
      <c r="G10" s="97"/>
      <c r="H10" s="9"/>
      <c r="I10" s="8"/>
    </row>
    <row r="11" spans="1:9" ht="24.75" customHeight="1" x14ac:dyDescent="0.25">
      <c r="A11" s="8"/>
      <c r="B11" s="9"/>
      <c r="C11" s="101">
        <v>5</v>
      </c>
      <c r="D11" s="98" t="s">
        <v>9</v>
      </c>
      <c r="E11" s="100">
        <v>100000</v>
      </c>
      <c r="F11" s="97"/>
      <c r="G11" s="97"/>
      <c r="H11" s="9"/>
      <c r="I11" s="8"/>
    </row>
    <row r="12" spans="1:9" ht="81.75" customHeight="1" x14ac:dyDescent="0.25">
      <c r="A12" s="8"/>
      <c r="B12" s="9"/>
      <c r="C12" s="242">
        <v>6</v>
      </c>
      <c r="D12" s="243" t="s">
        <v>229</v>
      </c>
      <c r="E12" s="152"/>
      <c r="F12" s="97"/>
      <c r="G12" s="97"/>
      <c r="H12" s="9"/>
      <c r="I12" s="8"/>
    </row>
    <row r="13" spans="1:9" x14ac:dyDescent="0.25">
      <c r="A13" s="8"/>
      <c r="B13" s="9"/>
      <c r="C13" s="97"/>
      <c r="D13" s="97"/>
      <c r="E13" s="97"/>
      <c r="F13" s="97"/>
      <c r="G13" s="97"/>
      <c r="H13" s="9"/>
      <c r="I13" s="8"/>
    </row>
    <row r="14" spans="1:9" x14ac:dyDescent="0.25">
      <c r="A14" s="8"/>
      <c r="B14" s="9"/>
      <c r="C14" s="97"/>
      <c r="D14" s="97"/>
      <c r="E14" s="97"/>
      <c r="F14" s="97"/>
      <c r="G14" s="97"/>
      <c r="H14" s="9"/>
      <c r="I14" s="8"/>
    </row>
    <row r="15" spans="1:9" x14ac:dyDescent="0.25">
      <c r="A15" s="8"/>
      <c r="B15" s="9"/>
      <c r="C15" s="54"/>
      <c r="D15" s="54"/>
      <c r="E15" s="54"/>
      <c r="F15" s="54"/>
      <c r="G15" s="54"/>
      <c r="H15" s="9"/>
      <c r="I15" s="8"/>
    </row>
    <row r="16" spans="1:9" ht="24" x14ac:dyDescent="0.25">
      <c r="A16" s="8"/>
      <c r="B16" s="9"/>
      <c r="C16" s="99" t="s">
        <v>10</v>
      </c>
      <c r="D16" s="77"/>
      <c r="E16" s="77"/>
      <c r="F16" s="76"/>
      <c r="G16" s="76"/>
      <c r="H16" s="9"/>
      <c r="I16" s="8"/>
    </row>
    <row r="17" spans="1:9" x14ac:dyDescent="0.25">
      <c r="A17" s="8"/>
      <c r="B17" s="9"/>
      <c r="C17" s="54"/>
      <c r="D17" s="54"/>
      <c r="E17" s="54"/>
      <c r="F17" s="54"/>
      <c r="G17" s="54"/>
      <c r="H17" s="9"/>
      <c r="I17" s="8"/>
    </row>
    <row r="18" spans="1:9" x14ac:dyDescent="0.25">
      <c r="A18" s="8"/>
      <c r="B18" s="9"/>
      <c r="C18" s="97"/>
      <c r="D18" s="97"/>
      <c r="E18" s="97"/>
      <c r="F18" s="97"/>
      <c r="G18" s="97"/>
      <c r="H18" s="9"/>
      <c r="I18" s="8"/>
    </row>
    <row r="19" spans="1:9" x14ac:dyDescent="0.25">
      <c r="A19" s="8"/>
      <c r="B19" s="9"/>
      <c r="C19" s="97"/>
      <c r="D19" s="97"/>
      <c r="E19" s="97"/>
      <c r="F19" s="97"/>
      <c r="G19" s="97"/>
      <c r="H19" s="9"/>
      <c r="I19" s="8"/>
    </row>
    <row r="20" spans="1:9" ht="27" customHeight="1" x14ac:dyDescent="0.25">
      <c r="A20" s="8"/>
      <c r="B20" s="9"/>
      <c r="C20" s="102"/>
      <c r="D20" s="113" t="s">
        <v>11</v>
      </c>
      <c r="E20" s="103"/>
      <c r="F20" s="103"/>
      <c r="G20" s="103"/>
      <c r="H20" s="9"/>
      <c r="I20" s="8"/>
    </row>
    <row r="21" spans="1:9" ht="27" customHeight="1" x14ac:dyDescent="0.25">
      <c r="A21" s="8"/>
      <c r="B21" s="9"/>
      <c r="C21" s="104"/>
      <c r="D21" s="103" t="s">
        <v>12</v>
      </c>
      <c r="E21" s="103"/>
      <c r="F21" s="249"/>
      <c r="G21" s="249"/>
      <c r="H21" s="9"/>
      <c r="I21" s="8"/>
    </row>
    <row r="22" spans="1:9" ht="27" customHeight="1" x14ac:dyDescent="0.25">
      <c r="A22" s="8"/>
      <c r="B22" s="9"/>
      <c r="C22" s="105"/>
      <c r="D22" s="103" t="s">
        <v>13</v>
      </c>
      <c r="E22" s="103"/>
      <c r="F22" s="103"/>
      <c r="G22" s="103"/>
      <c r="H22" s="9"/>
      <c r="I22" s="8"/>
    </row>
    <row r="23" spans="1:9" x14ac:dyDescent="0.25">
      <c r="A23" s="8"/>
      <c r="B23" s="9"/>
      <c r="C23" s="97"/>
      <c r="D23" s="97"/>
      <c r="E23" s="97"/>
      <c r="F23" s="97"/>
      <c r="G23" s="97"/>
      <c r="H23" s="9"/>
      <c r="I23" s="8"/>
    </row>
    <row r="24" spans="1:9" x14ac:dyDescent="0.25">
      <c r="A24" s="8"/>
      <c r="B24" s="9"/>
      <c r="C24" s="97"/>
      <c r="D24" s="97"/>
      <c r="E24" s="97"/>
      <c r="F24" s="97"/>
      <c r="G24" s="97"/>
      <c r="H24" s="9"/>
      <c r="I24" s="8"/>
    </row>
    <row r="25" spans="1:9" x14ac:dyDescent="0.25">
      <c r="A25" s="8"/>
      <c r="B25" s="9"/>
      <c r="C25" s="54"/>
      <c r="D25" s="54"/>
      <c r="E25" s="54"/>
      <c r="F25" s="54"/>
      <c r="G25" s="54"/>
      <c r="H25" s="54"/>
      <c r="I25" s="8"/>
    </row>
    <row r="26" spans="1:9" ht="31.5" x14ac:dyDescent="0.25">
      <c r="A26" s="8"/>
      <c r="B26" s="9"/>
      <c r="C26" s="54"/>
      <c r="D26" s="54"/>
      <c r="E26" s="54"/>
      <c r="F26" s="250" t="e" vm="1">
        <v>#VALUE!</v>
      </c>
      <c r="G26" s="250"/>
      <c r="H26" s="54"/>
      <c r="I26" s="8"/>
    </row>
    <row r="27" spans="1:9" x14ac:dyDescent="0.25">
      <c r="A27" s="8"/>
      <c r="B27" s="9"/>
      <c r="C27" s="54"/>
      <c r="D27" s="54"/>
      <c r="E27" s="54"/>
      <c r="F27" s="251"/>
      <c r="G27" s="251"/>
      <c r="H27" s="9"/>
      <c r="I27" s="8"/>
    </row>
    <row r="28" spans="1:9" x14ac:dyDescent="0.25">
      <c r="A28" s="8"/>
      <c r="B28" s="8"/>
      <c r="C28" s="8"/>
      <c r="D28" s="8"/>
      <c r="E28" s="8"/>
      <c r="F28" s="8"/>
      <c r="G28" s="8"/>
      <c r="H28" s="8"/>
      <c r="I28" s="8"/>
    </row>
    <row r="29" spans="1:9" x14ac:dyDescent="0.25">
      <c r="A29" s="8"/>
      <c r="B29" s="8"/>
      <c r="C29" s="8"/>
      <c r="D29" s="8"/>
      <c r="E29" s="8"/>
      <c r="F29" s="8"/>
      <c r="G29" s="8"/>
      <c r="H29" s="8"/>
      <c r="I29" s="8"/>
    </row>
    <row r="30" spans="1:9" ht="34.5" x14ac:dyDescent="0.25">
      <c r="A30" s="8"/>
      <c r="B30" s="8"/>
      <c r="C30" s="18" t="s">
        <v>14</v>
      </c>
      <c r="D30" s="119"/>
      <c r="E30" s="18"/>
      <c r="F30" s="106"/>
      <c r="G30" s="106"/>
      <c r="H30" s="8"/>
      <c r="I30" s="8"/>
    </row>
    <row r="31" spans="1:9" x14ac:dyDescent="0.25">
      <c r="A31" s="8"/>
      <c r="B31" s="9"/>
      <c r="C31" s="9"/>
      <c r="D31" s="9"/>
      <c r="E31" s="9"/>
      <c r="F31" s="9"/>
      <c r="G31" s="9"/>
      <c r="H31" s="9"/>
      <c r="I31" s="8"/>
    </row>
    <row r="32" spans="1:9" x14ac:dyDescent="0.25">
      <c r="A32" s="8"/>
      <c r="B32" s="9"/>
      <c r="C32" s="107">
        <v>45572</v>
      </c>
      <c r="D32" s="108" t="s">
        <v>15</v>
      </c>
      <c r="E32" s="9"/>
      <c r="F32" s="9"/>
      <c r="G32" s="9"/>
      <c r="H32" s="9"/>
      <c r="I32" s="8"/>
    </row>
    <row r="33" spans="1:9" x14ac:dyDescent="0.25">
      <c r="A33" s="8"/>
      <c r="B33" s="9"/>
      <c r="C33" s="107">
        <v>45691</v>
      </c>
      <c r="D33" s="108" t="s">
        <v>16</v>
      </c>
      <c r="E33" s="9"/>
      <c r="F33" s="9"/>
      <c r="G33" s="9"/>
      <c r="H33" s="9"/>
      <c r="I33" s="8"/>
    </row>
    <row r="34" spans="1:9" x14ac:dyDescent="0.25">
      <c r="A34" s="8"/>
      <c r="B34" s="9"/>
      <c r="C34" s="107">
        <v>45825</v>
      </c>
      <c r="D34" s="108" t="s">
        <v>17</v>
      </c>
      <c r="E34" s="9"/>
      <c r="F34" s="9"/>
      <c r="G34" s="9"/>
      <c r="H34" s="9"/>
      <c r="I34" s="8"/>
    </row>
    <row r="35" spans="1:9" x14ac:dyDescent="0.25">
      <c r="A35" s="8"/>
      <c r="B35" s="9"/>
      <c r="C35" s="107">
        <v>45838</v>
      </c>
      <c r="D35" s="108" t="s">
        <v>233</v>
      </c>
      <c r="E35" s="9"/>
      <c r="F35" s="9"/>
      <c r="G35" s="9"/>
      <c r="H35" s="9"/>
      <c r="I35" s="8"/>
    </row>
    <row r="36" spans="1:9" x14ac:dyDescent="0.25">
      <c r="A36" s="8"/>
      <c r="B36" s="9"/>
      <c r="C36" s="9"/>
      <c r="D36" s="9"/>
      <c r="E36" s="9"/>
      <c r="F36" s="9"/>
      <c r="G36" s="9"/>
      <c r="H36" s="9"/>
      <c r="I36" s="8"/>
    </row>
    <row r="37" spans="1:9" x14ac:dyDescent="0.25">
      <c r="A37" s="8"/>
      <c r="B37" s="9"/>
      <c r="C37" s="9"/>
      <c r="D37" s="9"/>
      <c r="E37" s="9"/>
      <c r="F37" s="9"/>
      <c r="G37" s="9"/>
      <c r="H37" s="9"/>
      <c r="I37" s="8"/>
    </row>
    <row r="38" spans="1:9" x14ac:dyDescent="0.25">
      <c r="A38" s="8"/>
      <c r="B38" s="9"/>
      <c r="C38" s="9"/>
      <c r="D38" s="9"/>
      <c r="E38" s="9"/>
      <c r="F38" s="9"/>
      <c r="G38" s="9"/>
      <c r="H38" s="9"/>
      <c r="I38" s="8"/>
    </row>
    <row r="39" spans="1:9" x14ac:dyDescent="0.25">
      <c r="A39" s="8"/>
      <c r="B39" s="9"/>
      <c r="C39" s="9"/>
      <c r="D39" s="9"/>
      <c r="E39" s="9"/>
      <c r="F39" s="9"/>
      <c r="G39" s="9"/>
      <c r="H39" s="9"/>
      <c r="I39" s="8"/>
    </row>
    <row r="40" spans="1:9" x14ac:dyDescent="0.25">
      <c r="A40" s="8"/>
      <c r="B40" s="9"/>
      <c r="C40" s="9"/>
      <c r="D40" s="9"/>
      <c r="E40" s="9"/>
      <c r="F40" s="9"/>
      <c r="G40" s="9"/>
      <c r="H40" s="9"/>
      <c r="I40" s="8"/>
    </row>
    <row r="41" spans="1:9" x14ac:dyDescent="0.25">
      <c r="A41" s="8"/>
      <c r="B41" s="9"/>
      <c r="C41" s="9"/>
      <c r="D41" s="9"/>
      <c r="E41" s="9"/>
      <c r="F41" s="9"/>
      <c r="G41" s="9"/>
      <c r="H41" s="9"/>
      <c r="I41" s="8"/>
    </row>
    <row r="42" spans="1:9" x14ac:dyDescent="0.25">
      <c r="A42" s="8"/>
      <c r="B42" s="9"/>
      <c r="C42" s="9"/>
      <c r="D42" s="9"/>
      <c r="E42" s="9"/>
      <c r="F42" s="9"/>
      <c r="G42" s="9"/>
      <c r="H42" s="9"/>
      <c r="I42" s="8"/>
    </row>
    <row r="43" spans="1:9" x14ac:dyDescent="0.25">
      <c r="A43" s="8"/>
      <c r="B43" s="8"/>
      <c r="C43" s="8"/>
      <c r="D43" s="8"/>
      <c r="E43" s="8"/>
      <c r="F43" s="8"/>
      <c r="G43" s="8"/>
      <c r="H43" s="8"/>
      <c r="I43" s="8"/>
    </row>
  </sheetData>
  <mergeCells count="3">
    <mergeCell ref="F21:G21"/>
    <mergeCell ref="F26:G26"/>
    <mergeCell ref="F27:G27"/>
  </mergeCells>
  <hyperlinks>
    <hyperlink ref="D20" r:id="rId1" xr:uid="{2CFCBCC2-3735-4226-BD1C-7F79F8722E6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F00D-AE89-41A8-B614-61469DE794E1}">
  <sheetPr>
    <tabColor theme="1" tint="0.249977111117893"/>
  </sheetPr>
  <dimension ref="A1:E78"/>
  <sheetViews>
    <sheetView zoomScaleNormal="100" workbookViewId="0"/>
  </sheetViews>
  <sheetFormatPr baseColWidth="10" defaultColWidth="0" defaultRowHeight="15" zeroHeight="1" x14ac:dyDescent="0.25"/>
  <cols>
    <col min="1" max="1" width="1.42578125" customWidth="1"/>
    <col min="2" max="2" width="4.28515625" customWidth="1"/>
    <col min="3" max="3" width="100.140625" customWidth="1"/>
    <col min="4" max="4" width="4.28515625" customWidth="1"/>
    <col min="5" max="5" width="1.42578125" customWidth="1"/>
    <col min="6" max="16384" width="11.42578125" hidden="1"/>
  </cols>
  <sheetData>
    <row r="1" spans="1:5" ht="39" x14ac:dyDescent="0.25">
      <c r="A1" s="8"/>
      <c r="B1" s="8"/>
      <c r="C1" s="112" t="s">
        <v>18</v>
      </c>
      <c r="D1" s="8"/>
      <c r="E1" s="8"/>
    </row>
    <row r="2" spans="1:5" x14ac:dyDescent="0.25">
      <c r="A2" s="8"/>
      <c r="B2" s="9"/>
      <c r="C2" s="9"/>
      <c r="D2" s="9"/>
      <c r="E2" s="8"/>
    </row>
    <row r="3" spans="1:5" x14ac:dyDescent="0.25">
      <c r="A3" s="8"/>
      <c r="B3" s="9"/>
      <c r="C3" s="9"/>
      <c r="D3" s="9"/>
      <c r="E3" s="8"/>
    </row>
    <row r="4" spans="1:5" ht="24" x14ac:dyDescent="0.25">
      <c r="A4" s="8"/>
      <c r="B4" s="9"/>
      <c r="C4" s="99" t="s">
        <v>19</v>
      </c>
      <c r="D4" s="9"/>
      <c r="E4" s="8"/>
    </row>
    <row r="5" spans="1:5" x14ac:dyDescent="0.25">
      <c r="A5" s="8"/>
      <c r="B5" s="9"/>
      <c r="C5" s="127"/>
      <c r="D5" s="9"/>
      <c r="E5" s="8"/>
    </row>
    <row r="6" spans="1:5" x14ac:dyDescent="0.25">
      <c r="A6" s="8"/>
      <c r="B6" s="9"/>
      <c r="C6" s="128" t="s">
        <v>20</v>
      </c>
      <c r="D6" s="9"/>
      <c r="E6" s="8"/>
    </row>
    <row r="7" spans="1:5" ht="60" x14ac:dyDescent="0.25">
      <c r="A7" s="8"/>
      <c r="B7" s="9"/>
      <c r="C7" s="188" t="s">
        <v>21</v>
      </c>
      <c r="D7" s="9"/>
      <c r="E7" s="8"/>
    </row>
    <row r="8" spans="1:5" x14ac:dyDescent="0.25">
      <c r="A8" s="8"/>
      <c r="B8" s="9"/>
      <c r="C8" s="127"/>
      <c r="D8" s="9"/>
      <c r="E8" s="8"/>
    </row>
    <row r="9" spans="1:5" x14ac:dyDescent="0.25">
      <c r="A9" s="8"/>
      <c r="B9" s="9"/>
      <c r="C9" s="128" t="s">
        <v>22</v>
      </c>
      <c r="D9" s="9"/>
      <c r="E9" s="8"/>
    </row>
    <row r="10" spans="1:5" ht="30" x14ac:dyDescent="0.25">
      <c r="A10" s="8"/>
      <c r="B10" s="9"/>
      <c r="C10" s="131" t="s">
        <v>23</v>
      </c>
      <c r="D10" s="9"/>
      <c r="E10" s="8"/>
    </row>
    <row r="11" spans="1:5" x14ac:dyDescent="0.25">
      <c r="A11" s="8"/>
      <c r="B11" s="9"/>
      <c r="C11" s="130" t="s">
        <v>24</v>
      </c>
      <c r="D11" s="9"/>
      <c r="E11" s="8"/>
    </row>
    <row r="12" spans="1:5" x14ac:dyDescent="0.25">
      <c r="A12" s="8"/>
      <c r="B12" s="9"/>
      <c r="C12" s="127"/>
      <c r="D12" s="9"/>
      <c r="E12" s="8"/>
    </row>
    <row r="13" spans="1:5" x14ac:dyDescent="0.25">
      <c r="A13" s="8"/>
      <c r="B13" s="9"/>
      <c r="C13" s="127" t="s">
        <v>25</v>
      </c>
      <c r="D13" s="9"/>
      <c r="E13" s="8"/>
    </row>
    <row r="14" spans="1:5" ht="45" x14ac:dyDescent="0.25">
      <c r="A14" s="8"/>
      <c r="B14" s="9"/>
      <c r="C14" s="131" t="s">
        <v>26</v>
      </c>
      <c r="D14" s="9"/>
      <c r="E14" s="8"/>
    </row>
    <row r="15" spans="1:5" ht="45" x14ac:dyDescent="0.25">
      <c r="A15" s="8"/>
      <c r="B15" s="9"/>
      <c r="C15" s="131" t="s">
        <v>205</v>
      </c>
      <c r="D15" s="9"/>
      <c r="E15" s="8"/>
    </row>
    <row r="16" spans="1:5" ht="34.5" customHeight="1" x14ac:dyDescent="0.25">
      <c r="A16" s="8"/>
      <c r="B16" s="9"/>
      <c r="C16" s="131" t="s">
        <v>27</v>
      </c>
      <c r="D16" s="9"/>
      <c r="E16" s="8"/>
    </row>
    <row r="17" spans="1:5" x14ac:dyDescent="0.25">
      <c r="A17" s="8"/>
      <c r="B17" s="9"/>
      <c r="C17" s="129"/>
      <c r="D17" s="9"/>
      <c r="E17" s="8"/>
    </row>
    <row r="18" spans="1:5" x14ac:dyDescent="0.25">
      <c r="A18" s="8"/>
      <c r="B18" s="9"/>
      <c r="C18" s="127" t="s">
        <v>28</v>
      </c>
      <c r="D18" s="9"/>
      <c r="E18" s="8"/>
    </row>
    <row r="19" spans="1:5" ht="42" customHeight="1" x14ac:dyDescent="0.25">
      <c r="A19" s="8"/>
      <c r="B19" s="9"/>
      <c r="C19" s="129" t="s">
        <v>206</v>
      </c>
      <c r="D19" s="9"/>
      <c r="E19" s="8"/>
    </row>
    <row r="20" spans="1:5" x14ac:dyDescent="0.25">
      <c r="A20" s="8"/>
      <c r="B20" s="9"/>
      <c r="C20" s="127"/>
      <c r="D20" s="9"/>
      <c r="E20" s="8"/>
    </row>
    <row r="21" spans="1:5" ht="24" x14ac:dyDescent="0.25">
      <c r="A21" s="8"/>
      <c r="B21" s="9"/>
      <c r="C21" s="99" t="s">
        <v>29</v>
      </c>
      <c r="D21" s="9"/>
      <c r="E21" s="8"/>
    </row>
    <row r="22" spans="1:5" x14ac:dyDescent="0.25">
      <c r="A22" s="8"/>
      <c r="B22" s="9"/>
      <c r="C22" s="9"/>
      <c r="D22" s="9"/>
      <c r="E22" s="8"/>
    </row>
    <row r="23" spans="1:5" x14ac:dyDescent="0.25">
      <c r="A23" s="8"/>
      <c r="B23" s="9"/>
      <c r="C23" s="128" t="s">
        <v>30</v>
      </c>
      <c r="D23" s="9"/>
      <c r="E23" s="8"/>
    </row>
    <row r="24" spans="1:5" ht="30" x14ac:dyDescent="0.25">
      <c r="A24" s="8"/>
      <c r="B24" s="9"/>
      <c r="C24" s="129" t="s">
        <v>31</v>
      </c>
      <c r="D24" s="9"/>
      <c r="E24" s="8"/>
    </row>
    <row r="25" spans="1:5" x14ac:dyDescent="0.25">
      <c r="A25" s="8"/>
      <c r="B25" s="9"/>
      <c r="C25" s="9"/>
      <c r="D25" s="9"/>
      <c r="E25" s="8"/>
    </row>
    <row r="26" spans="1:5" ht="24" x14ac:dyDescent="0.25">
      <c r="A26" s="8"/>
      <c r="B26" s="9"/>
      <c r="C26" s="99" t="s">
        <v>32</v>
      </c>
      <c r="D26" s="9"/>
      <c r="E26" s="8"/>
    </row>
    <row r="27" spans="1:5" x14ac:dyDescent="0.25">
      <c r="A27" s="8"/>
      <c r="B27" s="9"/>
      <c r="C27" s="9"/>
      <c r="D27" s="9"/>
      <c r="E27" s="8"/>
    </row>
    <row r="28" spans="1:5" x14ac:dyDescent="0.25">
      <c r="A28" s="8"/>
      <c r="B28" s="9"/>
      <c r="C28" s="128" t="s">
        <v>33</v>
      </c>
      <c r="D28" s="9"/>
      <c r="E28" s="8"/>
    </row>
    <row r="29" spans="1:5" ht="45" customHeight="1" x14ac:dyDescent="0.25">
      <c r="A29" s="8"/>
      <c r="B29" s="9"/>
      <c r="C29" s="129" t="s">
        <v>34</v>
      </c>
      <c r="D29" s="9"/>
      <c r="E29" s="8"/>
    </row>
    <row r="30" spans="1:5" ht="84" customHeight="1" x14ac:dyDescent="0.25">
      <c r="A30" s="8"/>
      <c r="B30" s="9"/>
      <c r="C30" s="129" t="s">
        <v>199</v>
      </c>
      <c r="D30" s="9"/>
      <c r="E30" s="8"/>
    </row>
    <row r="31" spans="1:5" x14ac:dyDescent="0.25">
      <c r="A31" s="8"/>
      <c r="B31" s="9"/>
      <c r="C31" s="129"/>
      <c r="D31" s="9"/>
      <c r="E31" s="8"/>
    </row>
    <row r="32" spans="1:5" ht="24" x14ac:dyDescent="0.25">
      <c r="A32" s="8"/>
      <c r="B32" s="9"/>
      <c r="C32" s="99" t="s">
        <v>35</v>
      </c>
      <c r="D32" s="9"/>
      <c r="E32" s="8"/>
    </row>
    <row r="33" spans="1:5" x14ac:dyDescent="0.25">
      <c r="A33" s="8"/>
      <c r="B33" s="9"/>
      <c r="C33" s="9"/>
      <c r="D33" s="9"/>
      <c r="E33" s="8"/>
    </row>
    <row r="34" spans="1:5" x14ac:dyDescent="0.25">
      <c r="A34" s="8"/>
      <c r="B34" s="9"/>
      <c r="C34" s="128" t="s">
        <v>36</v>
      </c>
      <c r="D34" s="9"/>
      <c r="E34" s="8"/>
    </row>
    <row r="35" spans="1:5" ht="30" x14ac:dyDescent="0.25">
      <c r="A35" s="8"/>
      <c r="B35" s="9"/>
      <c r="C35" s="129" t="s">
        <v>37</v>
      </c>
      <c r="D35" s="9"/>
      <c r="E35" s="8"/>
    </row>
    <row r="36" spans="1:5" x14ac:dyDescent="0.25">
      <c r="A36" s="8"/>
      <c r="B36" s="9"/>
      <c r="C36" s="129"/>
      <c r="D36" s="9"/>
      <c r="E36" s="8"/>
    </row>
    <row r="37" spans="1:5" x14ac:dyDescent="0.25">
      <c r="A37" s="8"/>
      <c r="B37" s="9"/>
      <c r="C37" s="128" t="s">
        <v>38</v>
      </c>
      <c r="D37" s="9"/>
      <c r="E37" s="8"/>
    </row>
    <row r="38" spans="1:5" ht="30" x14ac:dyDescent="0.25">
      <c r="A38" s="8"/>
      <c r="B38" s="9"/>
      <c r="C38" s="129" t="s">
        <v>39</v>
      </c>
      <c r="D38" s="9"/>
      <c r="E38" s="8"/>
    </row>
    <row r="39" spans="1:5" x14ac:dyDescent="0.25">
      <c r="A39" s="8"/>
      <c r="B39" s="9"/>
      <c r="C39" s="129"/>
      <c r="D39" s="9"/>
      <c r="E39" s="8"/>
    </row>
    <row r="40" spans="1:5" x14ac:dyDescent="0.25">
      <c r="A40" s="8"/>
      <c r="B40" s="9"/>
      <c r="C40" s="9"/>
      <c r="D40" s="9"/>
      <c r="E40" s="8"/>
    </row>
    <row r="41" spans="1:5" ht="24" x14ac:dyDescent="0.25">
      <c r="A41" s="8"/>
      <c r="B41" s="9"/>
      <c r="C41" s="99" t="s">
        <v>40</v>
      </c>
      <c r="D41" s="9"/>
      <c r="E41" s="8"/>
    </row>
    <row r="42" spans="1:5" x14ac:dyDescent="0.25">
      <c r="A42" s="8"/>
      <c r="B42" s="9"/>
      <c r="C42" s="9"/>
      <c r="D42" s="9"/>
      <c r="E42" s="8"/>
    </row>
    <row r="43" spans="1:5" x14ac:dyDescent="0.25">
      <c r="A43" s="8"/>
      <c r="B43" s="9"/>
      <c r="C43" s="128" t="s">
        <v>41</v>
      </c>
      <c r="D43" s="9"/>
      <c r="E43" s="8"/>
    </row>
    <row r="44" spans="1:5" x14ac:dyDescent="0.25">
      <c r="A44" s="8"/>
      <c r="B44" s="9"/>
      <c r="C44" s="129" t="s">
        <v>198</v>
      </c>
      <c r="D44" s="9"/>
      <c r="E44" s="8"/>
    </row>
    <row r="45" spans="1:5" x14ac:dyDescent="0.25">
      <c r="A45" s="8"/>
      <c r="B45" s="9"/>
      <c r="C45" s="129" t="s">
        <v>42</v>
      </c>
      <c r="D45" s="9"/>
      <c r="E45" s="8"/>
    </row>
    <row r="46" spans="1:5" x14ac:dyDescent="0.25">
      <c r="A46" s="8"/>
      <c r="B46" s="9"/>
      <c r="C46" s="129"/>
      <c r="D46" s="9"/>
      <c r="E46" s="8"/>
    </row>
    <row r="47" spans="1:5" x14ac:dyDescent="0.25">
      <c r="A47" s="8"/>
      <c r="B47" s="9"/>
      <c r="C47" s="134" t="s">
        <v>43</v>
      </c>
      <c r="D47" s="9"/>
      <c r="E47" s="8"/>
    </row>
    <row r="48" spans="1:5" x14ac:dyDescent="0.25">
      <c r="A48" s="8"/>
      <c r="B48" s="9"/>
      <c r="C48" s="129" t="s">
        <v>44</v>
      </c>
      <c r="D48" s="9"/>
      <c r="E48" s="8"/>
    </row>
    <row r="49" spans="1:5" x14ac:dyDescent="0.25">
      <c r="A49" s="8"/>
      <c r="B49" s="9"/>
      <c r="C49" s="134"/>
      <c r="D49" s="9"/>
      <c r="E49" s="8"/>
    </row>
    <row r="50" spans="1:5" x14ac:dyDescent="0.25">
      <c r="A50" s="8"/>
      <c r="B50" s="9"/>
      <c r="C50" s="134" t="s">
        <v>45</v>
      </c>
      <c r="D50" s="9"/>
      <c r="E50" s="8"/>
    </row>
    <row r="51" spans="1:5" x14ac:dyDescent="0.25">
      <c r="A51" s="8"/>
      <c r="B51" s="9"/>
      <c r="C51" s="129" t="s">
        <v>46</v>
      </c>
      <c r="D51" s="9"/>
      <c r="E51" s="8"/>
    </row>
    <row r="52" spans="1:5" x14ac:dyDescent="0.25">
      <c r="A52" s="8"/>
      <c r="B52" s="9"/>
      <c r="C52" s="129" t="s">
        <v>47</v>
      </c>
      <c r="D52" s="9"/>
      <c r="E52" s="8"/>
    </row>
    <row r="53" spans="1:5" x14ac:dyDescent="0.25">
      <c r="A53" s="8"/>
      <c r="B53" s="9"/>
      <c r="C53" s="9"/>
      <c r="D53" s="9"/>
      <c r="E53" s="8"/>
    </row>
    <row r="54" spans="1:5" x14ac:dyDescent="0.25">
      <c r="A54" s="8"/>
      <c r="B54" s="9"/>
      <c r="C54" s="128" t="s">
        <v>48</v>
      </c>
      <c r="D54" s="9"/>
      <c r="E54" s="8"/>
    </row>
    <row r="55" spans="1:5" ht="45" x14ac:dyDescent="0.25">
      <c r="A55" s="8"/>
      <c r="B55" s="9"/>
      <c r="C55" s="129" t="s">
        <v>202</v>
      </c>
      <c r="D55" s="9"/>
      <c r="E55" s="8"/>
    </row>
    <row r="56" spans="1:5" x14ac:dyDescent="0.25">
      <c r="A56" s="8"/>
      <c r="B56" s="9"/>
      <c r="C56" s="9"/>
      <c r="D56" s="9"/>
      <c r="E56" s="8"/>
    </row>
    <row r="57" spans="1:5" ht="24" x14ac:dyDescent="0.25">
      <c r="A57" s="8"/>
      <c r="B57" s="9"/>
      <c r="C57" s="99" t="s">
        <v>49</v>
      </c>
      <c r="D57" s="9"/>
      <c r="E57" s="8"/>
    </row>
    <row r="58" spans="1:5" x14ac:dyDescent="0.25">
      <c r="A58" s="8"/>
      <c r="B58" s="9"/>
      <c r="C58" s="9"/>
      <c r="D58" s="9"/>
      <c r="E58" s="8"/>
    </row>
    <row r="59" spans="1:5" x14ac:dyDescent="0.25">
      <c r="A59" s="8"/>
      <c r="B59" s="9"/>
      <c r="C59" s="128" t="s">
        <v>201</v>
      </c>
      <c r="D59" s="9"/>
      <c r="E59" s="8"/>
    </row>
    <row r="60" spans="1:5" ht="30" x14ac:dyDescent="0.25">
      <c r="A60" s="8"/>
      <c r="B60" s="9"/>
      <c r="C60" s="129" t="s">
        <v>203</v>
      </c>
      <c r="D60" s="9"/>
      <c r="E60" s="8"/>
    </row>
    <row r="61" spans="1:5" ht="7.5" customHeight="1" x14ac:dyDescent="0.25">
      <c r="A61" s="8"/>
      <c r="B61" s="9"/>
      <c r="C61" s="129"/>
      <c r="D61" s="9"/>
      <c r="E61" s="8"/>
    </row>
    <row r="62" spans="1:5" ht="30" x14ac:dyDescent="0.25">
      <c r="A62" s="8"/>
      <c r="B62" s="9"/>
      <c r="C62" s="129" t="s">
        <v>197</v>
      </c>
      <c r="D62" s="9"/>
      <c r="E62" s="8"/>
    </row>
    <row r="63" spans="1:5" ht="7.5" customHeight="1" x14ac:dyDescent="0.25">
      <c r="A63" s="8"/>
      <c r="B63" s="9"/>
      <c r="C63" s="129"/>
      <c r="D63" s="9"/>
      <c r="E63" s="8"/>
    </row>
    <row r="64" spans="1:5" ht="45" x14ac:dyDescent="0.25">
      <c r="A64" s="8"/>
      <c r="B64" s="9"/>
      <c r="C64" s="129" t="s">
        <v>204</v>
      </c>
      <c r="D64" s="9"/>
      <c r="E64" s="8"/>
    </row>
    <row r="65" spans="1:5" x14ac:dyDescent="0.25">
      <c r="A65" s="8"/>
      <c r="B65" s="9"/>
      <c r="C65" s="129"/>
      <c r="D65" s="9"/>
      <c r="E65" s="8"/>
    </row>
    <row r="66" spans="1:5" x14ac:dyDescent="0.25">
      <c r="A66" s="8"/>
      <c r="B66" s="9"/>
      <c r="C66" s="128" t="s">
        <v>50</v>
      </c>
      <c r="D66" s="9"/>
      <c r="E66" s="8"/>
    </row>
    <row r="67" spans="1:5" ht="30" x14ac:dyDescent="0.25">
      <c r="A67" s="8"/>
      <c r="B67" s="9"/>
      <c r="C67" s="215" t="s">
        <v>200</v>
      </c>
      <c r="D67" s="9"/>
      <c r="E67" s="8"/>
    </row>
    <row r="68" spans="1:5" x14ac:dyDescent="0.25">
      <c r="A68" s="8"/>
      <c r="B68" s="9"/>
      <c r="C68" s="129"/>
      <c r="D68" s="9"/>
      <c r="E68" s="8"/>
    </row>
    <row r="69" spans="1:5" x14ac:dyDescent="0.25">
      <c r="A69" s="8"/>
      <c r="B69" s="9"/>
      <c r="C69" s="128" t="s">
        <v>51</v>
      </c>
      <c r="D69" s="9"/>
      <c r="E69" s="8"/>
    </row>
    <row r="70" spans="1:5" x14ac:dyDescent="0.25">
      <c r="A70" s="8"/>
      <c r="B70" s="9"/>
      <c r="C70" s="215" t="s">
        <v>52</v>
      </c>
      <c r="D70" s="9"/>
      <c r="E70" s="8"/>
    </row>
    <row r="71" spans="1:5" x14ac:dyDescent="0.25">
      <c r="A71" s="8"/>
      <c r="B71" s="9"/>
      <c r="C71" s="183"/>
      <c r="D71" s="9"/>
      <c r="E71" s="8"/>
    </row>
    <row r="72" spans="1:5" ht="31.5" x14ac:dyDescent="0.25">
      <c r="A72" s="8"/>
      <c r="B72" s="9"/>
      <c r="C72" s="126" t="e" vm="1">
        <v>#VALUE!</v>
      </c>
      <c r="D72" s="125"/>
      <c r="E72" s="8"/>
    </row>
    <row r="73" spans="1:5" x14ac:dyDescent="0.25">
      <c r="A73" s="8"/>
      <c r="B73" s="9"/>
      <c r="C73" s="9"/>
      <c r="D73" s="9"/>
      <c r="E73" s="8"/>
    </row>
    <row r="74" spans="1:5" x14ac:dyDescent="0.25">
      <c r="A74" s="8"/>
      <c r="B74" s="8"/>
      <c r="C74" s="8"/>
      <c r="D74" s="8"/>
      <c r="E74" s="8"/>
    </row>
    <row r="78" spans="1:5" hidden="1" x14ac:dyDescent="0.25">
      <c r="C78" s="216"/>
    </row>
  </sheetData>
  <hyperlinks>
    <hyperlink ref="C11" r:id="rId1" xr:uid="{EB88C23D-C32A-44F4-A70C-6B7EA3594A3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1E1A-9B84-430B-AC62-CC4C7EB4D628}">
  <sheetPr codeName="Ark2">
    <tabColor rgb="FFF2E7E7"/>
    <pageSetUpPr autoPageBreaks="0" fitToPage="1"/>
  </sheetPr>
  <dimension ref="A1:R219"/>
  <sheetViews>
    <sheetView showGridLines="0" topLeftCell="A151" zoomScaleNormal="100" zoomScaleSheetLayoutView="97" workbookViewId="0">
      <selection activeCell="F163" sqref="F163"/>
    </sheetView>
  </sheetViews>
  <sheetFormatPr baseColWidth="10" defaultColWidth="0" defaultRowHeight="15" zeroHeight="1" x14ac:dyDescent="0.25"/>
  <cols>
    <col min="1" max="1" width="1.42578125" customWidth="1"/>
    <col min="2" max="3" width="4.28515625" customWidth="1"/>
    <col min="4" max="4" width="37.28515625" customWidth="1"/>
    <col min="5" max="5" width="25.7109375" customWidth="1"/>
    <col min="6" max="6" width="4.28515625" style="96" customWidth="1"/>
    <col min="7" max="7" width="11.7109375" customWidth="1"/>
    <col min="8" max="8" width="66.140625" customWidth="1"/>
    <col min="9" max="10" width="4.28515625" customWidth="1"/>
    <col min="11" max="11" width="1.42578125" customWidth="1"/>
    <col min="12" max="12" width="11.42578125" hidden="1" customWidth="1"/>
    <col min="13" max="14" width="7" hidden="1" customWidth="1"/>
    <col min="15" max="15" width="14.140625" hidden="1" customWidth="1"/>
    <col min="16" max="16" width="37.5703125" hidden="1" customWidth="1"/>
    <col min="17" max="17" width="51.5703125" hidden="1" customWidth="1"/>
    <col min="18" max="18" width="1.5703125" hidden="1" customWidth="1"/>
    <col min="19" max="16384" width="11.42578125" hidden="1"/>
  </cols>
  <sheetData>
    <row r="1" spans="1:18" s="212" customFormat="1" ht="47.1" customHeight="1" x14ac:dyDescent="0.5">
      <c r="A1" s="210"/>
      <c r="B1" s="210"/>
      <c r="C1" s="174" t="s">
        <v>53</v>
      </c>
      <c r="D1" s="174"/>
      <c r="E1" s="210"/>
      <c r="F1" s="211"/>
      <c r="G1" s="210"/>
      <c r="H1" s="210"/>
      <c r="I1" s="174"/>
      <c r="J1" s="210"/>
      <c r="K1" s="210"/>
    </row>
    <row r="2" spans="1:18" ht="15" customHeight="1" x14ac:dyDescent="0.25">
      <c r="A2" s="8"/>
      <c r="B2" s="9"/>
      <c r="C2" s="9"/>
      <c r="D2" s="9"/>
      <c r="E2" s="9"/>
      <c r="F2" s="92"/>
      <c r="G2" s="9"/>
      <c r="H2" s="9"/>
      <c r="I2" s="9"/>
      <c r="J2" s="9"/>
      <c r="K2" s="8"/>
    </row>
    <row r="3" spans="1:18" ht="24" x14ac:dyDescent="0.4">
      <c r="A3" s="8"/>
      <c r="B3" s="9"/>
      <c r="C3" s="177"/>
      <c r="D3" s="180" t="s">
        <v>54</v>
      </c>
      <c r="E3" s="178"/>
      <c r="F3" s="179"/>
      <c r="G3" s="189" t="s">
        <v>55</v>
      </c>
      <c r="H3" s="178"/>
      <c r="I3" s="80"/>
      <c r="J3" s="9"/>
      <c r="K3" s="8"/>
      <c r="O3" s="157" t="s">
        <v>56</v>
      </c>
      <c r="P3" s="209">
        <v>650</v>
      </c>
      <c r="Q3" s="165"/>
      <c r="R3" s="146" t="s">
        <v>57</v>
      </c>
    </row>
    <row r="4" spans="1:18" ht="26.25" customHeight="1" x14ac:dyDescent="0.25">
      <c r="A4" s="8"/>
      <c r="B4" s="9"/>
      <c r="C4" s="244" t="s">
        <v>58</v>
      </c>
      <c r="D4" s="173" t="s">
        <v>59</v>
      </c>
      <c r="E4" s="76"/>
      <c r="F4" s="245" t="s">
        <v>60</v>
      </c>
      <c r="G4" s="173" t="s">
        <v>61</v>
      </c>
      <c r="H4" s="76"/>
      <c r="I4" s="77"/>
      <c r="J4" s="9"/>
      <c r="K4" s="8"/>
      <c r="O4" s="157" t="s">
        <v>62</v>
      </c>
      <c r="P4" s="176">
        <v>0.1</v>
      </c>
      <c r="Q4" s="165"/>
      <c r="R4" s="146" t="s">
        <v>57</v>
      </c>
    </row>
    <row r="5" spans="1:18" ht="26.25" customHeight="1" x14ac:dyDescent="0.25">
      <c r="A5" s="8"/>
      <c r="B5" s="9"/>
      <c r="C5" s="244" t="s">
        <v>58</v>
      </c>
      <c r="D5" s="262" t="s">
        <v>63</v>
      </c>
      <c r="E5" s="262"/>
      <c r="F5" s="245" t="s">
        <v>60</v>
      </c>
      <c r="G5" s="173" t="s">
        <v>64</v>
      </c>
      <c r="H5" s="76"/>
      <c r="I5" s="77"/>
      <c r="J5" s="9"/>
      <c r="K5" s="8"/>
      <c r="O5" s="157" t="s">
        <v>65</v>
      </c>
      <c r="P5" s="164" t="s">
        <v>66</v>
      </c>
      <c r="Q5" s="165"/>
      <c r="R5" s="146" t="s">
        <v>57</v>
      </c>
    </row>
    <row r="6" spans="1:18" ht="26.25" customHeight="1" x14ac:dyDescent="0.25">
      <c r="A6" s="8"/>
      <c r="B6" s="9"/>
      <c r="C6" s="244" t="s">
        <v>58</v>
      </c>
      <c r="D6" s="262" t="s">
        <v>67</v>
      </c>
      <c r="E6" s="262"/>
      <c r="F6" s="245" t="s">
        <v>60</v>
      </c>
      <c r="G6" s="263" t="s">
        <v>68</v>
      </c>
      <c r="H6" s="262"/>
      <c r="I6" s="83"/>
      <c r="J6" s="9"/>
      <c r="K6" s="8"/>
      <c r="O6" s="158" t="s">
        <v>65</v>
      </c>
      <c r="P6" s="166" t="s">
        <v>69</v>
      </c>
      <c r="Q6" s="167"/>
      <c r="R6" s="146" t="s">
        <v>57</v>
      </c>
    </row>
    <row r="7" spans="1:18" ht="22.5" customHeight="1" x14ac:dyDescent="0.25">
      <c r="A7" s="8"/>
      <c r="B7" s="9"/>
      <c r="C7" s="93"/>
      <c r="D7" s="93"/>
      <c r="E7" s="93"/>
      <c r="F7" s="245"/>
      <c r="G7" s="263"/>
      <c r="H7" s="264"/>
      <c r="I7" s="83"/>
      <c r="J7" s="9"/>
      <c r="K7" s="8"/>
      <c r="O7" s="158" t="s">
        <v>70</v>
      </c>
      <c r="P7" s="166" t="s">
        <v>71</v>
      </c>
      <c r="Q7" s="167" t="s">
        <v>196</v>
      </c>
      <c r="R7" s="146" t="s">
        <v>57</v>
      </c>
    </row>
    <row r="8" spans="1:18" x14ac:dyDescent="0.25">
      <c r="A8" s="8"/>
      <c r="B8" s="9"/>
      <c r="C8" s="54"/>
      <c r="D8" s="54"/>
      <c r="E8" s="54"/>
      <c r="F8" s="94"/>
      <c r="G8" s="54"/>
      <c r="H8" s="54"/>
      <c r="I8" s="54"/>
      <c r="J8" s="9"/>
      <c r="K8" s="8"/>
    </row>
    <row r="9" spans="1:18" ht="6" customHeight="1" x14ac:dyDescent="0.25">
      <c r="A9" s="8"/>
      <c r="B9" s="8"/>
      <c r="C9" s="8"/>
      <c r="D9" s="8"/>
      <c r="E9" s="8"/>
      <c r="F9" s="91"/>
      <c r="G9" s="8"/>
      <c r="H9" s="8"/>
      <c r="I9" s="8"/>
      <c r="J9" s="8"/>
      <c r="K9" s="8"/>
    </row>
    <row r="10" spans="1:18" x14ac:dyDescent="0.25">
      <c r="A10" s="8"/>
      <c r="B10" s="9"/>
      <c r="C10" s="1"/>
      <c r="D10" s="1"/>
      <c r="E10" s="1"/>
      <c r="F10" s="95"/>
      <c r="G10" s="1"/>
      <c r="H10" s="1"/>
      <c r="I10" s="1"/>
      <c r="J10" s="9"/>
      <c r="K10" s="8"/>
      <c r="M10">
        <v>1</v>
      </c>
      <c r="N10" s="122" t="s">
        <v>73</v>
      </c>
      <c r="O10" s="122" t="s">
        <v>74</v>
      </c>
      <c r="P10" s="122" t="s">
        <v>75</v>
      </c>
      <c r="Q10" s="122" t="s">
        <v>76</v>
      </c>
      <c r="R10" s="122" t="s">
        <v>57</v>
      </c>
    </row>
    <row r="11" spans="1:18" ht="26.25" x14ac:dyDescent="0.4">
      <c r="A11" s="8"/>
      <c r="B11" s="9"/>
      <c r="C11" s="1"/>
      <c r="D11" s="227" t="s">
        <v>77</v>
      </c>
      <c r="E11" s="1"/>
      <c r="F11" s="95"/>
      <c r="G11" s="1"/>
      <c r="H11" s="1"/>
      <c r="I11" s="1"/>
      <c r="J11" s="9"/>
      <c r="K11" s="8"/>
      <c r="N11" s="122"/>
      <c r="O11" s="122"/>
      <c r="P11" s="122"/>
      <c r="Q11" s="122"/>
      <c r="R11" s="122"/>
    </row>
    <row r="12" spans="1:18" ht="15.75" thickBot="1" x14ac:dyDescent="0.3">
      <c r="A12" s="8"/>
      <c r="B12" s="9"/>
      <c r="C12" s="1"/>
      <c r="D12" s="3" t="s">
        <v>78</v>
      </c>
      <c r="E12" s="135"/>
      <c r="F12" s="90" t="str">
        <f>O12</f>
        <v xml:space="preserve">*obligatorisk </v>
      </c>
      <c r="G12" s="221"/>
      <c r="H12" s="221"/>
      <c r="I12" s="1"/>
      <c r="J12" s="9"/>
      <c r="K12" s="8"/>
      <c r="N12" s="154">
        <f>IF(E12="",1,0)</f>
        <v>1</v>
      </c>
      <c r="O12" s="124" t="str">
        <f>IF(N12=1,$P$6,"")</f>
        <v xml:space="preserve">*obligatorisk </v>
      </c>
      <c r="P12" s="146" t="s">
        <v>57</v>
      </c>
      <c r="Q12" s="146" t="s">
        <v>57</v>
      </c>
      <c r="R12" s="146" t="s">
        <v>57</v>
      </c>
    </row>
    <row r="13" spans="1:18" ht="16.5" thickTop="1" thickBot="1" x14ac:dyDescent="0.3">
      <c r="A13" s="8"/>
      <c r="B13" s="9"/>
      <c r="C13" s="1"/>
      <c r="D13" s="3" t="s">
        <v>79</v>
      </c>
      <c r="E13" s="135"/>
      <c r="F13" s="90" t="str">
        <f>O13</f>
        <v xml:space="preserve">*obligatorisk </v>
      </c>
      <c r="G13" s="221"/>
      <c r="H13" s="221"/>
      <c r="I13" s="1"/>
      <c r="J13" s="9"/>
      <c r="K13" s="8"/>
      <c r="N13" s="154">
        <f>IF(E13="",1,0)</f>
        <v>1</v>
      </c>
      <c r="O13" s="124" t="str">
        <f>IF(N13=1,$P$6,"")</f>
        <v xml:space="preserve">*obligatorisk </v>
      </c>
      <c r="P13" s="146" t="s">
        <v>57</v>
      </c>
      <c r="Q13" s="146" t="s">
        <v>57</v>
      </c>
      <c r="R13" s="146" t="s">
        <v>57</v>
      </c>
    </row>
    <row r="14" spans="1:18" ht="16.5" thickTop="1" thickBot="1" x14ac:dyDescent="0.3">
      <c r="A14" s="8"/>
      <c r="B14" s="9"/>
      <c r="C14" s="1"/>
      <c r="D14" s="3" t="s">
        <v>80</v>
      </c>
      <c r="E14" s="87"/>
      <c r="F14" s="90" t="str">
        <f t="shared" ref="F14:F19" si="0">O14</f>
        <v xml:space="preserve">*obligatorisk </v>
      </c>
      <c r="G14" s="221"/>
      <c r="H14" s="221"/>
      <c r="I14" s="1"/>
      <c r="J14" s="9"/>
      <c r="K14" s="8"/>
      <c r="N14" s="154">
        <f>IFERROR(IF(E14="",1,IF(E14=Innstillinger!$B$8,1,IF(E14/1&lt;1,2,0))),3)</f>
        <v>1</v>
      </c>
      <c r="O14" s="124" t="str">
        <f>IF(N14=1,$P$6,"")</f>
        <v xml:space="preserve">*obligatorisk </v>
      </c>
      <c r="P14" s="146" t="s">
        <v>57</v>
      </c>
      <c r="Q14" s="146" t="s">
        <v>57</v>
      </c>
      <c r="R14" s="146" t="s">
        <v>57</v>
      </c>
    </row>
    <row r="15" spans="1:18" ht="15.75" thickTop="1" x14ac:dyDescent="0.25">
      <c r="A15" s="8"/>
      <c r="B15" s="9"/>
      <c r="C15" s="1"/>
      <c r="D15" s="3"/>
      <c r="E15" s="3"/>
      <c r="F15" s="261" t="str">
        <f>O17</f>
        <v xml:space="preserve">*obligatorisk </v>
      </c>
      <c r="G15" s="261"/>
      <c r="H15" s="261"/>
      <c r="I15" s="1"/>
      <c r="J15" s="9"/>
      <c r="K15" s="8"/>
      <c r="N15" s="154">
        <f>N17</f>
        <v>1</v>
      </c>
      <c r="O15" s="47"/>
      <c r="P15" s="136"/>
    </row>
    <row r="16" spans="1:18" x14ac:dyDescent="0.25">
      <c r="A16" s="8"/>
      <c r="B16" s="9"/>
      <c r="C16" s="1"/>
      <c r="D16" s="3"/>
      <c r="E16" s="3"/>
      <c r="F16" s="261"/>
      <c r="G16" s="261"/>
      <c r="H16" s="261"/>
      <c r="I16" s="1"/>
      <c r="J16" s="9"/>
      <c r="K16" s="8"/>
      <c r="N16" s="154"/>
      <c r="O16" s="47"/>
      <c r="P16" s="136"/>
    </row>
    <row r="17" spans="1:18" ht="15.75" thickBot="1" x14ac:dyDescent="0.3">
      <c r="A17" s="8"/>
      <c r="B17" s="9"/>
      <c r="C17" s="1"/>
      <c r="D17" s="3" t="s">
        <v>81</v>
      </c>
      <c r="E17" s="132"/>
      <c r="F17" s="261"/>
      <c r="G17" s="261"/>
      <c r="H17" s="261"/>
      <c r="I17" s="1"/>
      <c r="J17" s="9"/>
      <c r="K17" s="8"/>
      <c r="M17" s="155"/>
      <c r="N17" s="154">
        <f>IFERROR(IF(E17="",1,IF(E17=Innstillinger!$B$8,1,IF(E17/1&lt;0,2,0))),3)</f>
        <v>1</v>
      </c>
      <c r="O17" s="124" t="str">
        <f>IF(N17=1,$P$6,IF(E30="","",IF(E30&gt;$P$3,P17,"")))</f>
        <v xml:space="preserve">*obligatorisk </v>
      </c>
      <c r="P17" s="168" t="str">
        <f>"⚠️ Årslønnen dere oppgir, utgjør en høy timesats for en ansatt uten undervisningstid. Timesats over "&amp;$P$3&amp;" kroner, inkludert sosiale utgifter, må dokumenteres. Vi ber dere derfor legge ved underbilag som dokumenterer den ansattes årslønn."</f>
        <v>⚠️ Årslønnen dere oppgir, utgjør en høy timesats for en ansatt uten undervisningstid. Timesats over 650 kroner, inkludert sosiale utgifter, må dokumenteres. Vi ber dere derfor legge ved underbilag som dokumenterer den ansattes årslønn.</v>
      </c>
      <c r="Q17" s="146" t="s">
        <v>57</v>
      </c>
      <c r="R17" s="146" t="s">
        <v>57</v>
      </c>
    </row>
    <row r="18" spans="1:18" ht="16.5" thickTop="1" thickBot="1" x14ac:dyDescent="0.3">
      <c r="A18" s="8"/>
      <c r="B18" s="9"/>
      <c r="C18" s="1"/>
      <c r="D18" s="3" t="s">
        <v>82</v>
      </c>
      <c r="E18" s="16"/>
      <c r="F18" s="90" t="str">
        <f t="shared" si="0"/>
        <v xml:space="preserve">*obligatorisk </v>
      </c>
      <c r="G18" s="222"/>
      <c r="H18" s="222"/>
      <c r="I18" s="1"/>
      <c r="J18" s="9"/>
      <c r="K18" s="8"/>
      <c r="N18" s="154">
        <f>IFERROR(IF(E18="",1,IF(E18=Innstillinger!$B$8,1,IF(AND(E18&lt;&gt;12%,E18&lt;&gt;14.3%),2,0))),3)</f>
        <v>1</v>
      </c>
      <c r="O18" s="124" t="str">
        <f>IF(N18=1,$P$6,"")</f>
        <v xml:space="preserve">*obligatorisk </v>
      </c>
      <c r="P18" s="146" t="s">
        <v>57</v>
      </c>
      <c r="Q18" s="146" t="s">
        <v>57</v>
      </c>
      <c r="R18" s="146" t="s">
        <v>57</v>
      </c>
    </row>
    <row r="19" spans="1:18" ht="16.5" thickTop="1" thickBot="1" x14ac:dyDescent="0.3">
      <c r="A19" s="8"/>
      <c r="B19" s="9"/>
      <c r="C19" s="1"/>
      <c r="D19" s="3" t="s">
        <v>83</v>
      </c>
      <c r="E19" s="17"/>
      <c r="F19" s="153" t="str">
        <f t="shared" si="0"/>
        <v xml:space="preserve">*obligatorisk </v>
      </c>
      <c r="G19" s="221"/>
      <c r="H19" s="223"/>
      <c r="I19" s="1"/>
      <c r="J19" s="9"/>
      <c r="K19" s="8"/>
      <c r="N19" s="154">
        <f>IFERROR(IF(E19="",1,IF(E19=Innstillinger!$B$8,1,IF(E19/1&lt;2%,2,0))),3)</f>
        <v>1</v>
      </c>
      <c r="O19" s="124" t="str">
        <f>IF(N19=1,$P$6,IF(E19&gt;$P$4,P19,""))</f>
        <v xml:space="preserve">*obligatorisk </v>
      </c>
      <c r="P19" s="168" t="str">
        <f>"⚠️Dere oppgir en høy pensjonssats - over "&amp;TEXT($P$4,"#%")&amp;". Forklar hvorfor, og vis utregning i kommentarfeltet nederst. "</f>
        <v xml:space="preserve">⚠️Dere oppgir en høy pensjonssats - over 10%. Forklar hvorfor, og vis utregning i kommentarfeltet nederst. </v>
      </c>
      <c r="Q19" s="146" t="s">
        <v>57</v>
      </c>
      <c r="R19" s="146" t="s">
        <v>57</v>
      </c>
    </row>
    <row r="20" spans="1:18" ht="15.75" thickTop="1" x14ac:dyDescent="0.25">
      <c r="A20" s="8"/>
      <c r="B20" s="9"/>
      <c r="C20" s="1"/>
      <c r="D20" s="60" t="s">
        <v>84</v>
      </c>
      <c r="E20" s="17"/>
      <c r="F20" s="90" t="str">
        <f t="shared" ref="F20" si="1">O20</f>
        <v xml:space="preserve">*obligatorisk </v>
      </c>
      <c r="G20" s="223"/>
      <c r="H20" s="49"/>
      <c r="I20" s="1"/>
      <c r="J20" s="9"/>
      <c r="K20" s="8"/>
      <c r="N20" s="154">
        <f>IFERROR(IF(E20="",1,IF(E20=Innstillinger!$B$8,1,IF(E20/1&lt;0,2,0))),3)</f>
        <v>1</v>
      </c>
      <c r="O20" s="124" t="str">
        <f>IF(N20=1,$P$6,"")</f>
        <v xml:space="preserve">*obligatorisk </v>
      </c>
      <c r="P20" s="146" t="s">
        <v>57</v>
      </c>
      <c r="Q20" s="146" t="s">
        <v>57</v>
      </c>
      <c r="R20" s="146" t="s">
        <v>57</v>
      </c>
    </row>
    <row r="21" spans="1:18" x14ac:dyDescent="0.25">
      <c r="A21" s="8"/>
      <c r="B21" s="9"/>
      <c r="C21" s="1"/>
      <c r="D21" s="69" t="s">
        <v>85</v>
      </c>
      <c r="E21" s="14"/>
      <c r="F21" s="224" t="str">
        <f>O21</f>
        <v/>
      </c>
      <c r="G21" s="225"/>
      <c r="H21" s="225"/>
      <c r="I21" s="1"/>
      <c r="J21" s="9"/>
      <c r="K21" s="8"/>
      <c r="O21" s="124" t="str">
        <f>IF(N21=1,$P$6,"")</f>
        <v/>
      </c>
      <c r="P21" s="146" t="s">
        <v>57</v>
      </c>
      <c r="Q21" s="146" t="s">
        <v>57</v>
      </c>
      <c r="R21" s="146" t="s">
        <v>57</v>
      </c>
    </row>
    <row r="22" spans="1:18" x14ac:dyDescent="0.25">
      <c r="A22" s="8"/>
      <c r="B22" s="9"/>
      <c r="C22" s="1"/>
      <c r="D22" s="66"/>
      <c r="E22" s="14"/>
      <c r="G22" s="221"/>
      <c r="H22" s="221"/>
      <c r="I22" s="1"/>
      <c r="J22" s="9"/>
      <c r="K22" s="8"/>
      <c r="N22" s="47"/>
      <c r="O22" s="47"/>
      <c r="P22" s="136"/>
    </row>
    <row r="23" spans="1:18" ht="15.75" thickBot="1" x14ac:dyDescent="0.3">
      <c r="A23" s="8"/>
      <c r="B23" s="9"/>
      <c r="C23" s="1"/>
      <c r="D23" s="3" t="s">
        <v>20</v>
      </c>
      <c r="E23" s="132"/>
      <c r="F23" s="90" t="str">
        <f t="shared" ref="F23:F25" si="2">O23</f>
        <v xml:space="preserve">*obligatorisk </v>
      </c>
      <c r="G23" s="225"/>
      <c r="H23" s="225"/>
      <c r="I23" s="1"/>
      <c r="J23" s="9"/>
      <c r="K23" s="8"/>
      <c r="M23" s="154">
        <f>IFERROR(VLOOKUP(E23,Innstillinger!$B$40:$C$44,2,FALSE),0)</f>
        <v>0</v>
      </c>
      <c r="N23" s="154">
        <f>IFERROR(IF(E23="",1,IF(E23=Innstillinger!$B$8,1,IF(M23/1&lt;=1,2,0))),3)</f>
        <v>1</v>
      </c>
      <c r="O23" s="124" t="str">
        <f>IF(N23=1,$P$6,"")</f>
        <v xml:space="preserve">*obligatorisk </v>
      </c>
      <c r="P23" s="146" t="s">
        <v>57</v>
      </c>
      <c r="Q23" s="146" t="s">
        <v>57</v>
      </c>
      <c r="R23" s="146" t="s">
        <v>57</v>
      </c>
    </row>
    <row r="24" spans="1:18" ht="16.5" thickTop="1" thickBot="1" x14ac:dyDescent="0.3">
      <c r="A24" s="8"/>
      <c r="B24" s="9"/>
      <c r="C24" s="1"/>
      <c r="D24" s="3" t="s">
        <v>224</v>
      </c>
      <c r="E24" s="118"/>
      <c r="F24" s="90" t="str">
        <f t="shared" si="2"/>
        <v xml:space="preserve">*obligatorisk </v>
      </c>
      <c r="G24" s="221"/>
      <c r="H24" s="221"/>
      <c r="I24" s="1"/>
      <c r="J24" s="9"/>
      <c r="K24" s="8"/>
      <c r="N24" s="154">
        <f>IFERROR(IF(E24="",1,IF(E24=Innstillinger!$B$8,1,IF(E24/1&gt;M23,2,0))),3)</f>
        <v>1</v>
      </c>
      <c r="O24" s="124" t="str">
        <f>IF(N24=1,$P$6,"")</f>
        <v xml:space="preserve">*obligatorisk </v>
      </c>
      <c r="P24" s="146" t="s">
        <v>57</v>
      </c>
      <c r="Q24" s="146" t="s">
        <v>57</v>
      </c>
      <c r="R24" s="146" t="s">
        <v>57</v>
      </c>
    </row>
    <row r="25" spans="1:18" ht="15.75" thickTop="1" x14ac:dyDescent="0.25">
      <c r="A25" s="8"/>
      <c r="B25" s="9"/>
      <c r="C25" s="1"/>
      <c r="D25" s="3" t="s">
        <v>28</v>
      </c>
      <c r="E25" s="161"/>
      <c r="F25" s="90" t="str">
        <f t="shared" si="2"/>
        <v xml:space="preserve">*obligatorisk </v>
      </c>
      <c r="G25" s="221"/>
      <c r="H25" s="221"/>
      <c r="I25" s="1"/>
      <c r="J25" s="9"/>
      <c r="K25" s="8"/>
      <c r="M25" s="154">
        <f>IF(E18=14.3%,46,47)</f>
        <v>47</v>
      </c>
      <c r="N25" s="154">
        <f>IFERROR(IF(E25="",1,IF(E25=Innstillinger!$B$8,1,IF(E25/1&gt;M25,2,0))),3)</f>
        <v>1</v>
      </c>
      <c r="O25" s="124" t="str">
        <f>IF(N25=1,$P$6,"")</f>
        <v xml:space="preserve">*obligatorisk </v>
      </c>
      <c r="P25" s="146" t="s">
        <v>57</v>
      </c>
      <c r="Q25" s="146" t="s">
        <v>57</v>
      </c>
      <c r="R25" s="146" t="s">
        <v>57</v>
      </c>
    </row>
    <row r="26" spans="1:18" x14ac:dyDescent="0.25">
      <c r="A26" s="8"/>
      <c r="B26" s="9"/>
      <c r="C26" s="1"/>
      <c r="D26" s="3"/>
      <c r="E26" s="14"/>
      <c r="I26" s="1"/>
      <c r="J26" s="9"/>
      <c r="K26" s="8"/>
      <c r="O26" s="145"/>
      <c r="P26" s="145"/>
    </row>
    <row r="27" spans="1:18" x14ac:dyDescent="0.25">
      <c r="A27" s="8"/>
      <c r="B27" s="9"/>
      <c r="C27" s="1"/>
      <c r="D27" s="3"/>
      <c r="E27" s="148"/>
      <c r="F27" s="153" t="str">
        <f>IF(O31="","",P17)</f>
        <v/>
      </c>
      <c r="I27" s="1"/>
      <c r="J27" s="9"/>
      <c r="K27" s="8"/>
      <c r="N27" s="122" t="s">
        <v>87</v>
      </c>
      <c r="O27" s="122" t="s">
        <v>74</v>
      </c>
      <c r="P27" s="122" t="s">
        <v>75</v>
      </c>
      <c r="Q27" s="122" t="s">
        <v>76</v>
      </c>
      <c r="R27" s="122"/>
    </row>
    <row r="28" spans="1:18" ht="15.75" thickBot="1" x14ac:dyDescent="0.3">
      <c r="A28" s="8"/>
      <c r="B28" s="9"/>
      <c r="C28" s="1"/>
      <c r="D28" s="3" t="s">
        <v>36</v>
      </c>
      <c r="E28" s="116" t="str">
        <f>IF(N28="skjul","",E24/VLOOKUP(E23,Innstillinger!$B$40:$C$44,2,FALSE))</f>
        <v/>
      </c>
      <c r="F28" s="213" t="str">
        <f>O28</f>
        <v/>
      </c>
      <c r="G28" s="60"/>
      <c r="H28" s="60"/>
      <c r="I28" s="1"/>
      <c r="J28" s="9"/>
      <c r="K28" s="8"/>
      <c r="N28" s="123" t="str">
        <f>IF(N12+N13+N14+N17+N23+N18+N19+N20+N24+N25=0,"vis","skjul")</f>
        <v>skjul</v>
      </c>
      <c r="O28" s="124" t="str">
        <f>IF(AND(F37=TRUE,N28="vis"),Q28,"")</f>
        <v/>
      </c>
      <c r="P28" s="146" t="s">
        <v>57</v>
      </c>
      <c r="Q28" s="169" t="str">
        <f>"➡️ "&amp;TEXT(E28,"#%")&amp;" stilling  =  "&amp;E24&amp;" faktiske arbeidstimer/uke   ÷   "&amp;M23&amp;"  alminnelig arbeidstid/uke"</f>
        <v>➡️  stilling  =   faktiske arbeidstimer/uke   ÷   0  alminnelig arbeidstid/uke</v>
      </c>
      <c r="R28" s="146" t="s">
        <v>57</v>
      </c>
    </row>
    <row r="29" spans="1:18" ht="16.5" thickTop="1" thickBot="1" x14ac:dyDescent="0.3">
      <c r="A29" s="8"/>
      <c r="B29" s="9"/>
      <c r="C29" s="1"/>
      <c r="D29" s="3" t="s">
        <v>41</v>
      </c>
      <c r="E29" s="133" t="str">
        <f>IF(N29="skjul","",E17/VLOOKUP(E23,Innstillinger!$B$41:$C$44,2,FALSE)/52)</f>
        <v/>
      </c>
      <c r="F29" s="213" t="str">
        <f>O29</f>
        <v/>
      </c>
      <c r="G29" s="184"/>
      <c r="H29" s="184"/>
      <c r="I29" s="1"/>
      <c r="J29" s="9"/>
      <c r="K29" s="8"/>
      <c r="N29" s="123" t="str">
        <f>N28</f>
        <v>skjul</v>
      </c>
      <c r="O29" s="124" t="str">
        <f>IF(AND(F37=TRUE,N29="vis"),Q29,"")</f>
        <v/>
      </c>
      <c r="P29" s="146" t="s">
        <v>57</v>
      </c>
      <c r="Q29" s="169" t="str">
        <f>"➡️ "&amp;TEXT(E29,"# ##0,##")&amp;" kroner per time  =  "&amp;TEXT(E17,"# ##0,##")&amp;" årslønn  ÷  "&amp;E23&amp;"  ÷  52 uker"</f>
        <v>➡️  kroner per time  =  0, årslønn  ÷    ÷  52 uker</v>
      </c>
      <c r="R29" s="146" t="s">
        <v>57</v>
      </c>
    </row>
    <row r="30" spans="1:18" ht="16.5" thickTop="1" thickBot="1" x14ac:dyDescent="0.3">
      <c r="A30" s="8"/>
      <c r="B30" s="9"/>
      <c r="C30" s="1"/>
      <c r="D30" s="3" t="s">
        <v>88</v>
      </c>
      <c r="E30" s="115" t="str">
        <f>IF(N30="skjul","",(E29*(1+E18+E19+(E18*E19))*(1+E20)))</f>
        <v/>
      </c>
      <c r="F30" s="213" t="str">
        <f>O30</f>
        <v/>
      </c>
      <c r="G30" s="60"/>
      <c r="H30" s="60"/>
      <c r="I30" s="1"/>
      <c r="J30" s="9"/>
      <c r="K30" s="8"/>
      <c r="N30" s="123" t="str">
        <f>N28</f>
        <v>skjul</v>
      </c>
      <c r="O30" s="124" t="str">
        <f>IF(AND(F37=TRUE,N30="vis"),Q30,"")</f>
        <v/>
      </c>
      <c r="P30" s="146" t="s">
        <v>57</v>
      </c>
      <c r="Q30" s="169" t="str">
        <f>"➡️ "&amp;TEXT(E30,"# ##0,##")&amp;" kroner per time  =  "&amp;TEXT(E29,"# ##0,##")&amp;" timelønn  x  sosiale utgifter"</f>
        <v>➡️  kroner per time  =   timelønn  x  sosiale utgifter</v>
      </c>
      <c r="R30" s="146" t="s">
        <v>57</v>
      </c>
    </row>
    <row r="31" spans="1:18" ht="15.75" thickTop="1" x14ac:dyDescent="0.25">
      <c r="A31" s="8"/>
      <c r="B31" s="9"/>
      <c r="C31" s="1"/>
      <c r="D31" s="3"/>
      <c r="G31" s="60"/>
      <c r="H31" s="60"/>
      <c r="I31" s="1"/>
      <c r="J31" s="9"/>
      <c r="K31" s="8"/>
      <c r="R31" s="146" t="s">
        <v>57</v>
      </c>
    </row>
    <row r="32" spans="1:18" ht="15.75" thickBot="1" x14ac:dyDescent="0.3">
      <c r="A32" s="8"/>
      <c r="B32" s="9"/>
      <c r="C32" s="1"/>
      <c r="D32" s="3" t="s">
        <v>89</v>
      </c>
      <c r="E32" s="35" t="str">
        <f>IF(N32="skjul","",E29*E25*E24)</f>
        <v/>
      </c>
      <c r="F32" s="213" t="str">
        <f>O32</f>
        <v/>
      </c>
      <c r="G32" s="60"/>
      <c r="H32" s="60"/>
      <c r="I32" s="1"/>
      <c r="J32" s="9"/>
      <c r="K32" s="8"/>
      <c r="L32" s="144"/>
      <c r="N32" s="123" t="str">
        <f>N28</f>
        <v>skjul</v>
      </c>
      <c r="O32" s="124" t="str">
        <f>IF(AND(F37=TRUE,N32="vis"),Q32,"")</f>
        <v/>
      </c>
      <c r="P32" s="146" t="s">
        <v>57</v>
      </c>
      <c r="Q32" s="169" t="str">
        <f>"➡️ "&amp;TEXT(E32,"# ##0")&amp;" kroner lønn uten feriepenger  =  "&amp;TEXT(E29,"#,##")&amp;" timelønn  x  "&amp;E24&amp;" timer per uke   x   "&amp;E25&amp;" uker"</f>
        <v>➡️  kroner lønn uten feriepenger  =   timelønn  x   timer per uke   x    uker</v>
      </c>
      <c r="R32" s="146" t="s">
        <v>57</v>
      </c>
    </row>
    <row r="33" spans="1:18" ht="16.5" thickTop="1" thickBot="1" x14ac:dyDescent="0.3">
      <c r="A33" s="8"/>
      <c r="B33" s="9"/>
      <c r="C33" s="1"/>
      <c r="D33" s="3" t="s">
        <v>30</v>
      </c>
      <c r="E33" s="36" t="str">
        <f>IF(N32="skjul","",(E32)*E18)</f>
        <v/>
      </c>
      <c r="F33" s="213" t="str">
        <f>O33</f>
        <v/>
      </c>
      <c r="G33" s="60"/>
      <c r="H33" s="60"/>
      <c r="I33" s="1"/>
      <c r="J33" s="9"/>
      <c r="K33" s="8"/>
      <c r="L33" s="144"/>
      <c r="N33" s="123" t="str">
        <f>N28</f>
        <v>skjul</v>
      </c>
      <c r="O33" s="124" t="str">
        <f>IF(AND(F37=TRUE,N33="vis"),Q33,"")</f>
        <v/>
      </c>
      <c r="P33" s="146" t="s">
        <v>57</v>
      </c>
      <c r="Q33" s="169" t="str">
        <f>"➡️ "&amp;TEXT(E33,"# ##0")&amp;" kroner lønn uten feriepenger  =  "&amp;TEXT(E32,"# ##0")&amp;" lønn  x  "&amp;TEXT(E18,"#,0 %")&amp;" feriepenger sats"</f>
        <v>➡️  kroner lønn uten feriepenger  =   lønn  x  ,0 % feriepenger sats</v>
      </c>
      <c r="R33" s="146" t="s">
        <v>57</v>
      </c>
    </row>
    <row r="34" spans="1:18" ht="16.5" thickTop="1" thickBot="1" x14ac:dyDescent="0.3">
      <c r="A34" s="8"/>
      <c r="B34" s="9"/>
      <c r="C34" s="1"/>
      <c r="D34" s="3" t="s">
        <v>90</v>
      </c>
      <c r="E34" s="36" t="str">
        <f>IF(N32="skjul","",(E32+E33)*E19)</f>
        <v/>
      </c>
      <c r="F34" s="213" t="str">
        <f>O34</f>
        <v/>
      </c>
      <c r="G34" s="60"/>
      <c r="H34" s="60"/>
      <c r="I34" s="1"/>
      <c r="J34" s="9"/>
      <c r="K34" s="8"/>
      <c r="L34" s="144"/>
      <c r="M34" s="144"/>
      <c r="N34" s="123" t="str">
        <f>N28</f>
        <v>skjul</v>
      </c>
      <c r="O34" s="124" t="str">
        <f>IF(AND(F37=TRUE,N34="vis"),Q34,"")</f>
        <v/>
      </c>
      <c r="P34" s="146" t="s">
        <v>57</v>
      </c>
      <c r="Q34" s="169" t="str">
        <f>"➡️ "&amp;TEXT(E34,"# ##0")&amp;" kroner pensjon  =  ("&amp;TEXT(E32,"# ##0")&amp;" lønn + "&amp;TEXT(E33,"# ##0")&amp;" feriepenger)  x  "&amp;TEXT(E19,"#,0 %")&amp;" pensjon sats"</f>
        <v>➡️  kroner pensjon  =  ( lønn +  feriepenger)  x  ,0 % pensjon sats</v>
      </c>
      <c r="R34" s="146" t="s">
        <v>57</v>
      </c>
    </row>
    <row r="35" spans="1:18" ht="16.5" customHeight="1" thickTop="1" x14ac:dyDescent="0.25">
      <c r="A35" s="8"/>
      <c r="B35" s="9"/>
      <c r="C35" s="1"/>
      <c r="D35" s="3" t="s">
        <v>22</v>
      </c>
      <c r="E35" s="37" t="str">
        <f>IF(N32="skjul","",(E32+E33+E34)*E20)</f>
        <v/>
      </c>
      <c r="F35" s="213" t="str">
        <f>O35</f>
        <v/>
      </c>
      <c r="G35" s="60"/>
      <c r="H35" s="60"/>
      <c r="I35" s="1"/>
      <c r="J35" s="9"/>
      <c r="K35" s="8"/>
      <c r="L35" s="144"/>
      <c r="N35" s="123" t="str">
        <f>N28</f>
        <v>skjul</v>
      </c>
      <c r="O35" s="124" t="str">
        <f>IF(AND(F37=TRUE,N35="vis"),Q35,"")</f>
        <v/>
      </c>
      <c r="P35" s="146" t="s">
        <v>57</v>
      </c>
      <c r="Q35" s="169" t="str">
        <f>"➡️ "&amp;TEXT(E35,"# ##0")&amp;" kroner arbeidsgiveravgift =  ("&amp;TEXT(E32,"# ##0")&amp;" lønn + "&amp;TEXT(E33,"# ##0")&amp;" feriepenger + "&amp;TEXT(E34,"# ##0")&amp;" pensjon)  x  "&amp;TEXT(E20,"#,0 %")&amp;" aga sats"</f>
        <v>➡️  kroner arbeidsgiveravgift =  ( lønn +  feriepenger +  pensjon)  x  ,0 % aga sats</v>
      </c>
      <c r="R35" s="146" t="s">
        <v>57</v>
      </c>
    </row>
    <row r="36" spans="1:18" ht="6" customHeight="1" x14ac:dyDescent="0.25">
      <c r="A36" s="8"/>
      <c r="B36" s="9"/>
      <c r="C36" s="1"/>
      <c r="D36" s="3"/>
      <c r="E36" s="4"/>
      <c r="F36" s="185"/>
      <c r="G36" s="60"/>
      <c r="H36" s="60"/>
      <c r="I36" s="1"/>
      <c r="J36" s="9"/>
      <c r="K36" s="8"/>
      <c r="N36" s="47"/>
    </row>
    <row r="37" spans="1:18" ht="18.75" customHeight="1" x14ac:dyDescent="0.3">
      <c r="A37" s="8"/>
      <c r="B37" s="10"/>
      <c r="C37" s="11"/>
      <c r="D37" s="12" t="s">
        <v>92</v>
      </c>
      <c r="E37" s="13" t="str">
        <f>IFERROR(E32+E33+E34+E35,"")</f>
        <v/>
      </c>
      <c r="F37" s="241" t="b">
        <v>0</v>
      </c>
      <c r="G37" s="182" t="s">
        <v>93</v>
      </c>
      <c r="I37" s="11"/>
      <c r="J37" s="10"/>
      <c r="K37" s="8"/>
      <c r="L37" s="5"/>
      <c r="N37" s="123" t="str">
        <f>N28</f>
        <v>skjul</v>
      </c>
      <c r="O37" s="124" t="str">
        <f>IF(AND(F37=TRUE,N37="vis"),Q37,"")</f>
        <v/>
      </c>
      <c r="P37" s="146" t="s">
        <v>57</v>
      </c>
      <c r="Q37" s="169"/>
      <c r="R37" s="146" t="s">
        <v>57</v>
      </c>
    </row>
    <row r="38" spans="1:18" s="11" customFormat="1" ht="19.5" customHeight="1" x14ac:dyDescent="0.25">
      <c r="A38" s="8"/>
      <c r="B38" s="10"/>
      <c r="C38" s="98"/>
      <c r="D38" s="137" t="s">
        <v>91</v>
      </c>
      <c r="E38" s="138" t="str">
        <f>IFERROR((E32+E33+E34+E35)/E14,"")</f>
        <v/>
      </c>
      <c r="F38" s="213"/>
      <c r="G38" s="186"/>
      <c r="H38" s="186"/>
      <c r="I38" s="98"/>
      <c r="J38" s="10"/>
      <c r="K38" s="8"/>
      <c r="L38" s="226"/>
      <c r="N38" s="123" t="str">
        <f>N28</f>
        <v>skjul</v>
      </c>
      <c r="O38" s="124" t="str">
        <f>IF(AND(F37=TRUE,N38="vis"),Q38,"")</f>
        <v/>
      </c>
      <c r="P38" s="146" t="s">
        <v>57</v>
      </c>
      <c r="Q38" s="169" t="str">
        <f>"➡️ "&amp;TEXT(E38,"# ##0")&amp;" kroner totale =  "&amp;TEXT(E32,"# ##0")&amp;" lønn + "&amp;TEXT(E33,"# ##0")&amp;" fp + "&amp;TEXT(E34,"# ##0")&amp;" pensjon + "&amp;TEXT(E35,"# ##0")&amp;" arbeidsgiveravgift"</f>
        <v>➡️  kroner totale =   lønn +  fp +  pensjon +  arbeidsgiveravgift</v>
      </c>
      <c r="R38" s="146" t="s">
        <v>57</v>
      </c>
    </row>
    <row r="39" spans="1:18" x14ac:dyDescent="0.25">
      <c r="A39" s="8"/>
      <c r="B39" s="9"/>
      <c r="E39" s="5"/>
      <c r="F39" s="117"/>
      <c r="J39" s="9"/>
      <c r="K39" s="8"/>
      <c r="L39" s="5"/>
    </row>
    <row r="40" spans="1:18" x14ac:dyDescent="0.25">
      <c r="A40" s="8"/>
      <c r="B40" s="9"/>
      <c r="E40" s="5"/>
      <c r="F40" s="117"/>
      <c r="J40" s="9"/>
      <c r="K40" s="8"/>
    </row>
    <row r="41" spans="1:18" x14ac:dyDescent="0.25">
      <c r="A41" s="8"/>
      <c r="B41" s="9"/>
      <c r="D41" s="3" t="s">
        <v>94</v>
      </c>
      <c r="E41" s="5"/>
      <c r="F41" s="117"/>
      <c r="J41" s="9"/>
      <c r="K41" s="8"/>
    </row>
    <row r="42" spans="1:18" x14ac:dyDescent="0.25">
      <c r="A42" s="8"/>
      <c r="B42" s="9"/>
      <c r="D42" s="258"/>
      <c r="E42" s="259"/>
      <c r="F42" s="259"/>
      <c r="G42" s="259"/>
      <c r="H42" s="260"/>
      <c r="J42" s="9"/>
      <c r="K42" s="8"/>
    </row>
    <row r="43" spans="1:18" x14ac:dyDescent="0.25">
      <c r="A43" s="8"/>
      <c r="B43" s="9"/>
      <c r="D43" s="252"/>
      <c r="E43" s="253"/>
      <c r="F43" s="253"/>
      <c r="G43" s="253"/>
      <c r="H43" s="254"/>
      <c r="J43" s="9"/>
      <c r="K43" s="8"/>
    </row>
    <row r="44" spans="1:18" x14ac:dyDescent="0.25">
      <c r="A44" s="8"/>
      <c r="B44" s="9"/>
      <c r="D44" s="252"/>
      <c r="E44" s="253"/>
      <c r="F44" s="253"/>
      <c r="G44" s="253"/>
      <c r="H44" s="254"/>
      <c r="J44" s="9"/>
      <c r="K44" s="8"/>
    </row>
    <row r="45" spans="1:18" x14ac:dyDescent="0.25">
      <c r="A45" s="8"/>
      <c r="B45" s="9"/>
      <c r="D45" s="252"/>
      <c r="E45" s="253"/>
      <c r="F45" s="253"/>
      <c r="G45" s="253"/>
      <c r="H45" s="254"/>
      <c r="J45" s="9"/>
      <c r="K45" s="8"/>
    </row>
    <row r="46" spans="1:18" x14ac:dyDescent="0.25">
      <c r="A46" s="8"/>
      <c r="B46" s="9"/>
      <c r="D46" s="252"/>
      <c r="E46" s="253"/>
      <c r="F46" s="253"/>
      <c r="G46" s="253"/>
      <c r="H46" s="254"/>
      <c r="J46" s="9"/>
      <c r="K46" s="8"/>
    </row>
    <row r="47" spans="1:18" x14ac:dyDescent="0.25">
      <c r="A47" s="8"/>
      <c r="B47" s="9"/>
      <c r="D47" s="255"/>
      <c r="E47" s="256"/>
      <c r="F47" s="256"/>
      <c r="G47" s="256"/>
      <c r="H47" s="257"/>
      <c r="J47" s="9"/>
      <c r="K47" s="8"/>
    </row>
    <row r="48" spans="1:18" x14ac:dyDescent="0.25">
      <c r="A48" s="8"/>
      <c r="B48" s="9"/>
      <c r="E48" s="5"/>
      <c r="F48" s="117"/>
      <c r="J48" s="9"/>
      <c r="K48" s="8"/>
    </row>
    <row r="49" spans="1:18" x14ac:dyDescent="0.25">
      <c r="A49" s="8"/>
      <c r="B49" s="9"/>
      <c r="C49" s="9"/>
      <c r="D49" s="9"/>
      <c r="E49" s="9"/>
      <c r="F49" s="92"/>
      <c r="G49" s="9"/>
      <c r="H49" s="9"/>
      <c r="I49" s="9"/>
      <c r="J49" s="9"/>
      <c r="K49" s="8"/>
    </row>
    <row r="50" spans="1:18" x14ac:dyDescent="0.25">
      <c r="A50" s="8"/>
      <c r="B50" s="9"/>
      <c r="C50" s="9"/>
      <c r="D50" s="9"/>
      <c r="E50" s="9"/>
      <c r="F50" s="92"/>
      <c r="G50" s="9"/>
      <c r="H50" s="9"/>
      <c r="I50" s="9"/>
      <c r="J50" s="9"/>
      <c r="K50" s="8"/>
    </row>
    <row r="51" spans="1:18" ht="6" customHeight="1" x14ac:dyDescent="0.25">
      <c r="A51" s="8"/>
      <c r="B51" s="8"/>
      <c r="C51" s="8"/>
      <c r="D51" s="8"/>
      <c r="E51" s="8"/>
      <c r="F51" s="91"/>
      <c r="G51" s="8"/>
      <c r="H51" s="8"/>
      <c r="I51" s="8"/>
      <c r="J51" s="8"/>
      <c r="K51" s="8"/>
    </row>
    <row r="52" spans="1:18" x14ac:dyDescent="0.25">
      <c r="A52" s="8"/>
      <c r="B52" s="9"/>
      <c r="C52" s="1"/>
      <c r="D52" s="1"/>
      <c r="E52" s="1"/>
      <c r="F52" s="95"/>
      <c r="G52" s="1"/>
      <c r="H52" s="1"/>
      <c r="I52" s="1"/>
      <c r="J52" s="9"/>
      <c r="K52" s="8"/>
      <c r="M52">
        <v>1</v>
      </c>
      <c r="N52" s="122" t="s">
        <v>73</v>
      </c>
      <c r="O52" s="122" t="s">
        <v>74</v>
      </c>
      <c r="P52" s="122" t="s">
        <v>75</v>
      </c>
      <c r="Q52" s="122" t="s">
        <v>76</v>
      </c>
      <c r="R52" s="122" t="s">
        <v>57</v>
      </c>
    </row>
    <row r="53" spans="1:18" ht="26.25" x14ac:dyDescent="0.4">
      <c r="A53" s="8"/>
      <c r="B53" s="9"/>
      <c r="C53" s="1"/>
      <c r="D53" s="227" t="s">
        <v>223</v>
      </c>
      <c r="E53" s="1"/>
      <c r="F53" s="95"/>
      <c r="G53" s="1"/>
      <c r="H53" s="1"/>
      <c r="I53" s="1"/>
      <c r="J53" s="9"/>
      <c r="K53" s="8"/>
      <c r="N53" s="122"/>
      <c r="O53" s="122"/>
      <c r="P53" s="122"/>
      <c r="Q53" s="122"/>
      <c r="R53" s="122"/>
    </row>
    <row r="54" spans="1:18" ht="15.75" thickBot="1" x14ac:dyDescent="0.3">
      <c r="A54" s="8"/>
      <c r="B54" s="9"/>
      <c r="C54" s="1"/>
      <c r="D54" s="3" t="s">
        <v>78</v>
      </c>
      <c r="E54" s="135"/>
      <c r="F54" s="90" t="str">
        <f>O54</f>
        <v xml:space="preserve">*obligatorisk </v>
      </c>
      <c r="G54" s="221"/>
      <c r="H54" s="221"/>
      <c r="I54" s="1"/>
      <c r="J54" s="9"/>
      <c r="K54" s="8"/>
      <c r="N54" s="154">
        <f>IF(E54="",1,0)</f>
        <v>1</v>
      </c>
      <c r="O54" s="124" t="str">
        <f>IF(N54=1,$P$6,"")</f>
        <v xml:space="preserve">*obligatorisk </v>
      </c>
      <c r="P54" s="146" t="s">
        <v>57</v>
      </c>
      <c r="Q54" s="146" t="s">
        <v>57</v>
      </c>
      <c r="R54" s="146" t="s">
        <v>57</v>
      </c>
    </row>
    <row r="55" spans="1:18" ht="16.5" thickTop="1" thickBot="1" x14ac:dyDescent="0.3">
      <c r="A55" s="8"/>
      <c r="B55" s="9"/>
      <c r="C55" s="1"/>
      <c r="D55" s="3" t="s">
        <v>79</v>
      </c>
      <c r="E55" s="135"/>
      <c r="F55" s="90" t="str">
        <f>O55</f>
        <v xml:space="preserve">*obligatorisk </v>
      </c>
      <c r="G55" s="221"/>
      <c r="H55" s="221"/>
      <c r="I55" s="1"/>
      <c r="J55" s="9"/>
      <c r="K55" s="8"/>
      <c r="N55" s="154">
        <f>IF(E55="",1,0)</f>
        <v>1</v>
      </c>
      <c r="O55" s="124" t="str">
        <f>IF(N55=1,$P$6,"")</f>
        <v xml:space="preserve">*obligatorisk </v>
      </c>
      <c r="P55" s="146" t="s">
        <v>57</v>
      </c>
      <c r="Q55" s="146" t="s">
        <v>57</v>
      </c>
      <c r="R55" s="146" t="s">
        <v>57</v>
      </c>
    </row>
    <row r="56" spans="1:18" ht="16.5" thickTop="1" thickBot="1" x14ac:dyDescent="0.3">
      <c r="A56" s="8"/>
      <c r="B56" s="9"/>
      <c r="C56" s="1"/>
      <c r="D56" s="3" t="s">
        <v>80</v>
      </c>
      <c r="E56" s="87"/>
      <c r="F56" s="90" t="str">
        <f t="shared" ref="F56" si="3">O56</f>
        <v xml:space="preserve">*obligatorisk </v>
      </c>
      <c r="G56" s="221"/>
      <c r="H56" s="221"/>
      <c r="I56" s="1"/>
      <c r="J56" s="9"/>
      <c r="K56" s="8"/>
      <c r="N56" s="154">
        <f>IFERROR(IF(E56="",1,IF(E56=Innstillinger!$B$8,1,IF(E56/1&lt;1,2,0))),3)</f>
        <v>1</v>
      </c>
      <c r="O56" s="124" t="str">
        <f>IF(N56=1,$P$6,"")</f>
        <v xml:space="preserve">*obligatorisk </v>
      </c>
      <c r="P56" s="146" t="s">
        <v>57</v>
      </c>
      <c r="Q56" s="146" t="s">
        <v>57</v>
      </c>
      <c r="R56" s="146" t="s">
        <v>57</v>
      </c>
    </row>
    <row r="57" spans="1:18" ht="15.75" thickTop="1" x14ac:dyDescent="0.25">
      <c r="A57" s="8"/>
      <c r="B57" s="9"/>
      <c r="C57" s="1"/>
      <c r="D57" s="3"/>
      <c r="E57" s="3"/>
      <c r="F57" s="261" t="str">
        <f>O59</f>
        <v xml:space="preserve">*obligatorisk </v>
      </c>
      <c r="G57" s="261"/>
      <c r="H57" s="261"/>
      <c r="I57" s="1"/>
      <c r="J57" s="9"/>
      <c r="K57" s="8"/>
      <c r="N57" s="154">
        <f>N59</f>
        <v>1</v>
      </c>
      <c r="O57" s="47"/>
      <c r="P57" s="136"/>
    </row>
    <row r="58" spans="1:18" x14ac:dyDescent="0.25">
      <c r="A58" s="8"/>
      <c r="B58" s="9"/>
      <c r="C58" s="1"/>
      <c r="D58" s="3"/>
      <c r="E58" s="3"/>
      <c r="F58" s="261"/>
      <c r="G58" s="261"/>
      <c r="H58" s="261"/>
      <c r="I58" s="1"/>
      <c r="J58" s="9"/>
      <c r="K58" s="8"/>
      <c r="N58" s="154"/>
      <c r="O58" s="47"/>
      <c r="P58" s="136"/>
    </row>
    <row r="59" spans="1:18" ht="15.75" thickBot="1" x14ac:dyDescent="0.3">
      <c r="A59" s="8"/>
      <c r="B59" s="9"/>
      <c r="C59" s="1"/>
      <c r="D59" s="3" t="s">
        <v>81</v>
      </c>
      <c r="E59" s="132"/>
      <c r="F59" s="261"/>
      <c r="G59" s="261"/>
      <c r="H59" s="261"/>
      <c r="I59" s="1"/>
      <c r="J59" s="9"/>
      <c r="K59" s="8"/>
      <c r="M59" s="155"/>
      <c r="N59" s="154">
        <f>IFERROR(IF(E59="",1,IF(E59=Innstillinger!$B$8,1,IF(E59/1&lt;0,2,0))),3)</f>
        <v>1</v>
      </c>
      <c r="O59" s="124" t="str">
        <f>IF(N59=1,$P$6,IF(E72="","",IF(E72&gt;$P$3,P59,"")))</f>
        <v xml:space="preserve">*obligatorisk </v>
      </c>
      <c r="P59" s="168" t="str">
        <f>"⚠️ Årslønnen dere oppgir, utgjør en høy timesats for en ansatt uten undervisningstid. Timesats over "&amp;$P$3&amp;" kroner, inkludert sosiale utgifter, må dokumenteres. Vi ber dere derfor legge ved underbilag som dokumenterer den ansattes årslønn."</f>
        <v>⚠️ Årslønnen dere oppgir, utgjør en høy timesats for en ansatt uten undervisningstid. Timesats over 650 kroner, inkludert sosiale utgifter, må dokumenteres. Vi ber dere derfor legge ved underbilag som dokumenterer den ansattes årslønn.</v>
      </c>
      <c r="Q59" s="146" t="s">
        <v>57</v>
      </c>
      <c r="R59" s="146" t="s">
        <v>57</v>
      </c>
    </row>
    <row r="60" spans="1:18" ht="16.5" thickTop="1" thickBot="1" x14ac:dyDescent="0.3">
      <c r="A60" s="8"/>
      <c r="B60" s="9"/>
      <c r="C60" s="1"/>
      <c r="D60" s="3" t="s">
        <v>82</v>
      </c>
      <c r="E60" s="16"/>
      <c r="F60" s="90" t="str">
        <f t="shared" ref="F60:F62" si="4">O60</f>
        <v xml:space="preserve">*obligatorisk </v>
      </c>
      <c r="G60" s="222"/>
      <c r="H60" s="222"/>
      <c r="I60" s="1"/>
      <c r="J60" s="9"/>
      <c r="K60" s="8"/>
      <c r="N60" s="154">
        <f>IFERROR(IF(E60="",1,IF(E60=Innstillinger!$B$8,1,IF(AND(E60&lt;&gt;12%,E60&lt;&gt;14.3%),2,0))),3)</f>
        <v>1</v>
      </c>
      <c r="O60" s="124" t="str">
        <f>IF(N60=1,$P$6,"")</f>
        <v xml:space="preserve">*obligatorisk </v>
      </c>
      <c r="P60" s="146" t="s">
        <v>57</v>
      </c>
      <c r="Q60" s="146" t="s">
        <v>57</v>
      </c>
      <c r="R60" s="146" t="s">
        <v>57</v>
      </c>
    </row>
    <row r="61" spans="1:18" ht="16.5" thickTop="1" thickBot="1" x14ac:dyDescent="0.3">
      <c r="A61" s="8"/>
      <c r="B61" s="9"/>
      <c r="C61" s="1"/>
      <c r="D61" s="3" t="s">
        <v>83</v>
      </c>
      <c r="E61" s="17"/>
      <c r="F61" s="153" t="str">
        <f t="shared" si="4"/>
        <v xml:space="preserve">*obligatorisk </v>
      </c>
      <c r="G61" s="221"/>
      <c r="H61" s="223"/>
      <c r="I61" s="1"/>
      <c r="J61" s="9"/>
      <c r="K61" s="8"/>
      <c r="N61" s="154">
        <f>IFERROR(IF(E61="",1,IF(E61=Innstillinger!$B$8,1,IF(E61/1&lt;2%,2,0))),3)</f>
        <v>1</v>
      </c>
      <c r="O61" s="124" t="str">
        <f>IF(N61=1,$P$6,IF(E61&gt;$P$4,P61,""))</f>
        <v xml:space="preserve">*obligatorisk </v>
      </c>
      <c r="P61" s="168" t="str">
        <f>"⚠️Dere oppgir en høy pensjonssats - over "&amp;TEXT($P$4,"#%")&amp;". Forklar hvorfor, og vis utregning i kommentarfeltet nederst. "</f>
        <v xml:space="preserve">⚠️Dere oppgir en høy pensjonssats - over 10%. Forklar hvorfor, og vis utregning i kommentarfeltet nederst. </v>
      </c>
      <c r="Q61" s="146" t="s">
        <v>57</v>
      </c>
      <c r="R61" s="146" t="s">
        <v>57</v>
      </c>
    </row>
    <row r="62" spans="1:18" ht="15.75" thickTop="1" x14ac:dyDescent="0.25">
      <c r="A62" s="8"/>
      <c r="B62" s="9"/>
      <c r="C62" s="1"/>
      <c r="D62" s="60" t="s">
        <v>84</v>
      </c>
      <c r="E62" s="17"/>
      <c r="F62" s="90" t="str">
        <f t="shared" si="4"/>
        <v xml:space="preserve">*obligatorisk </v>
      </c>
      <c r="G62" s="223"/>
      <c r="H62" s="49"/>
      <c r="I62" s="1"/>
      <c r="J62" s="9"/>
      <c r="K62" s="8"/>
      <c r="N62" s="154">
        <f>IFERROR(IF(E62="",1,IF(E62=Innstillinger!$B$8,1,IF(E62/1&lt;0,2,0))),3)</f>
        <v>1</v>
      </c>
      <c r="O62" s="124" t="str">
        <f>IF(N62=1,$P$6,"")</f>
        <v xml:space="preserve">*obligatorisk </v>
      </c>
      <c r="P62" s="146" t="s">
        <v>57</v>
      </c>
      <c r="Q62" s="146" t="s">
        <v>57</v>
      </c>
      <c r="R62" s="146" t="s">
        <v>57</v>
      </c>
    </row>
    <row r="63" spans="1:18" x14ac:dyDescent="0.25">
      <c r="A63" s="8"/>
      <c r="B63" s="9"/>
      <c r="C63" s="1"/>
      <c r="D63" s="69" t="s">
        <v>85</v>
      </c>
      <c r="E63" s="14"/>
      <c r="F63" s="224" t="str">
        <f>O63</f>
        <v/>
      </c>
      <c r="G63" s="225"/>
      <c r="H63" s="225"/>
      <c r="I63" s="1"/>
      <c r="J63" s="9"/>
      <c r="K63" s="8"/>
      <c r="O63" s="124" t="str">
        <f>IF(N63=1,$P$6,"")</f>
        <v/>
      </c>
      <c r="P63" s="146" t="s">
        <v>57</v>
      </c>
      <c r="Q63" s="146" t="s">
        <v>57</v>
      </c>
      <c r="R63" s="146" t="s">
        <v>57</v>
      </c>
    </row>
    <row r="64" spans="1:18" x14ac:dyDescent="0.25">
      <c r="A64" s="8"/>
      <c r="B64" s="9"/>
      <c r="C64" s="1"/>
      <c r="D64" s="66"/>
      <c r="E64" s="14"/>
      <c r="G64" s="221"/>
      <c r="H64" s="221"/>
      <c r="I64" s="1"/>
      <c r="J64" s="9"/>
      <c r="K64" s="8"/>
      <c r="N64" s="47"/>
      <c r="O64" s="47"/>
      <c r="P64" s="136"/>
    </row>
    <row r="65" spans="1:18" ht="15.75" thickBot="1" x14ac:dyDescent="0.3">
      <c r="A65" s="8"/>
      <c r="B65" s="9"/>
      <c r="C65" s="1"/>
      <c r="D65" s="3" t="s">
        <v>20</v>
      </c>
      <c r="E65" s="132"/>
      <c r="F65" s="90" t="str">
        <f t="shared" ref="F65:F67" si="5">O65</f>
        <v xml:space="preserve">*obligatorisk </v>
      </c>
      <c r="G65" s="225"/>
      <c r="H65" s="225"/>
      <c r="I65" s="1"/>
      <c r="J65" s="9"/>
      <c r="K65" s="8"/>
      <c r="M65" s="154">
        <f>IFERROR(VLOOKUP(E65,Innstillinger!$B$40:$C$44,2,FALSE),0)</f>
        <v>0</v>
      </c>
      <c r="N65" s="154">
        <f>IFERROR(IF(E65="",1,IF(E65=Innstillinger!$B$8,1,IF(M65/1&lt;=1,2,0))),3)</f>
        <v>1</v>
      </c>
      <c r="O65" s="124" t="str">
        <f>IF(N65=1,$P$6,"")</f>
        <v xml:space="preserve">*obligatorisk </v>
      </c>
      <c r="P65" s="146" t="s">
        <v>57</v>
      </c>
      <c r="Q65" s="146" t="s">
        <v>57</v>
      </c>
      <c r="R65" s="146" t="s">
        <v>57</v>
      </c>
    </row>
    <row r="66" spans="1:18" ht="16.5" thickTop="1" thickBot="1" x14ac:dyDescent="0.3">
      <c r="A66" s="8"/>
      <c r="B66" s="9"/>
      <c r="C66" s="1"/>
      <c r="D66" s="3" t="s">
        <v>224</v>
      </c>
      <c r="E66" s="118"/>
      <c r="F66" s="90" t="str">
        <f t="shared" si="5"/>
        <v xml:space="preserve">*obligatorisk </v>
      </c>
      <c r="G66" s="221"/>
      <c r="H66" s="221"/>
      <c r="I66" s="1"/>
      <c r="J66" s="9"/>
      <c r="K66" s="8"/>
      <c r="N66" s="154">
        <f>IFERROR(IF(E66="",1,IF(E66=Innstillinger!$B$8,1,IF(E66/1&gt;M65,2,0))),3)</f>
        <v>1</v>
      </c>
      <c r="O66" s="124" t="str">
        <f>IF(N66=1,$P$6,"")</f>
        <v xml:space="preserve">*obligatorisk </v>
      </c>
      <c r="P66" s="146" t="s">
        <v>57</v>
      </c>
      <c r="Q66" s="146" t="s">
        <v>57</v>
      </c>
      <c r="R66" s="146" t="s">
        <v>57</v>
      </c>
    </row>
    <row r="67" spans="1:18" ht="15.75" thickTop="1" x14ac:dyDescent="0.25">
      <c r="A67" s="8"/>
      <c r="B67" s="9"/>
      <c r="C67" s="1"/>
      <c r="D67" s="3" t="s">
        <v>28</v>
      </c>
      <c r="E67" s="161"/>
      <c r="F67" s="90" t="str">
        <f t="shared" si="5"/>
        <v xml:space="preserve">*obligatorisk </v>
      </c>
      <c r="G67" s="221"/>
      <c r="H67" s="221"/>
      <c r="I67" s="1"/>
      <c r="J67" s="9"/>
      <c r="K67" s="8"/>
      <c r="M67" s="154">
        <f>IF(E60=14.3%,46,47)</f>
        <v>47</v>
      </c>
      <c r="N67" s="154">
        <f>IFERROR(IF(E67="",1,IF(E67=Innstillinger!$B$8,1,IF(E67/1&gt;M67,2,0))),3)</f>
        <v>1</v>
      </c>
      <c r="O67" s="124" t="str">
        <f>IF(N67=1,$P$6,"")</f>
        <v xml:space="preserve">*obligatorisk </v>
      </c>
      <c r="P67" s="146" t="s">
        <v>57</v>
      </c>
      <c r="Q67" s="146" t="s">
        <v>57</v>
      </c>
      <c r="R67" s="146" t="s">
        <v>57</v>
      </c>
    </row>
    <row r="68" spans="1:18" x14ac:dyDescent="0.25">
      <c r="A68" s="8"/>
      <c r="B68" s="9"/>
      <c r="C68" s="1"/>
      <c r="D68" s="3"/>
      <c r="E68" s="14"/>
      <c r="I68" s="1"/>
      <c r="J68" s="9"/>
      <c r="K68" s="8"/>
      <c r="O68" s="145"/>
      <c r="P68" s="145"/>
    </row>
    <row r="69" spans="1:18" x14ac:dyDescent="0.25">
      <c r="A69" s="8"/>
      <c r="B69" s="9"/>
      <c r="C69" s="1"/>
      <c r="D69" s="3"/>
      <c r="E69" s="148"/>
      <c r="F69" s="153" t="str">
        <f>IF(O73="","",P59)</f>
        <v/>
      </c>
      <c r="I69" s="1"/>
      <c r="J69" s="9"/>
      <c r="K69" s="8"/>
      <c r="N69" s="122" t="s">
        <v>87</v>
      </c>
      <c r="O69" s="122" t="s">
        <v>74</v>
      </c>
      <c r="P69" s="122" t="s">
        <v>75</v>
      </c>
      <c r="Q69" s="122" t="s">
        <v>76</v>
      </c>
      <c r="R69" s="122"/>
    </row>
    <row r="70" spans="1:18" ht="15.75" thickBot="1" x14ac:dyDescent="0.3">
      <c r="A70" s="8"/>
      <c r="B70" s="9"/>
      <c r="C70" s="1"/>
      <c r="D70" s="3" t="s">
        <v>36</v>
      </c>
      <c r="E70" s="116" t="str">
        <f>IF(N70="skjul","",E66/VLOOKUP(E65,Innstillinger!$B$40:$C$44,2,FALSE))</f>
        <v/>
      </c>
      <c r="F70" s="213" t="str">
        <f>O70</f>
        <v/>
      </c>
      <c r="G70" s="60"/>
      <c r="H70" s="60"/>
      <c r="I70" s="1"/>
      <c r="J70" s="9"/>
      <c r="K70" s="8"/>
      <c r="N70" s="123" t="str">
        <f>IF(N54+N55+N56+N59+N65+N60+N61+N62+N66+N67=0,"vis","skjul")</f>
        <v>skjul</v>
      </c>
      <c r="O70" s="124" t="str">
        <f>IF(AND(F79=TRUE,N70="vis"),Q70,"")</f>
        <v/>
      </c>
      <c r="P70" s="146" t="s">
        <v>57</v>
      </c>
      <c r="Q70" s="169" t="str">
        <f>"➡️ "&amp;TEXT(E70,"#%")&amp;" stilling  =  "&amp;E66&amp;" faktiske arbeidstimer/uke   ÷   "&amp;M65&amp;"  alminnelig arbeidstid/uke"</f>
        <v>➡️  stilling  =   faktiske arbeidstimer/uke   ÷   0  alminnelig arbeidstid/uke</v>
      </c>
      <c r="R70" s="146" t="s">
        <v>57</v>
      </c>
    </row>
    <row r="71" spans="1:18" ht="16.5" thickTop="1" thickBot="1" x14ac:dyDescent="0.3">
      <c r="A71" s="8"/>
      <c r="B71" s="9"/>
      <c r="C71" s="1"/>
      <c r="D71" s="3" t="s">
        <v>41</v>
      </c>
      <c r="E71" s="133" t="str">
        <f>IF(N71="skjul","",E59/VLOOKUP(E65,Innstillinger!$B$41:$C$44,2,FALSE)/52)</f>
        <v/>
      </c>
      <c r="F71" s="213" t="str">
        <f>O71</f>
        <v/>
      </c>
      <c r="G71" s="184"/>
      <c r="H71" s="184"/>
      <c r="I71" s="1"/>
      <c r="J71" s="9"/>
      <c r="K71" s="8"/>
      <c r="N71" s="123" t="str">
        <f>N70</f>
        <v>skjul</v>
      </c>
      <c r="O71" s="124" t="str">
        <f>IF(AND(F79=TRUE,N71="vis"),Q71,"")</f>
        <v/>
      </c>
      <c r="P71" s="146" t="s">
        <v>57</v>
      </c>
      <c r="Q71" s="169" t="str">
        <f>"➡️ "&amp;TEXT(E71,"# ##0,##")&amp;" kroner per time  =  "&amp;TEXT(E59,"# ##0,##")&amp;" årslønn  ÷  "&amp;E65&amp;"  ÷  52 uker"</f>
        <v>➡️  kroner per time  =  0, årslønn  ÷    ÷  52 uker</v>
      </c>
      <c r="R71" s="146" t="s">
        <v>57</v>
      </c>
    </row>
    <row r="72" spans="1:18" ht="16.5" thickTop="1" thickBot="1" x14ac:dyDescent="0.3">
      <c r="A72" s="8"/>
      <c r="B72" s="9"/>
      <c r="C72" s="1"/>
      <c r="D72" s="3" t="s">
        <v>88</v>
      </c>
      <c r="E72" s="115" t="str">
        <f>IF(N72="skjul","",(E71*(1+E60+E61+(E60*E61))*(1+E62)))</f>
        <v/>
      </c>
      <c r="F72" s="213" t="str">
        <f>O72</f>
        <v/>
      </c>
      <c r="G72" s="60"/>
      <c r="H72" s="60"/>
      <c r="I72" s="1"/>
      <c r="J72" s="9"/>
      <c r="K72" s="8"/>
      <c r="N72" s="123" t="str">
        <f>N70</f>
        <v>skjul</v>
      </c>
      <c r="O72" s="124" t="str">
        <f>IF(AND(F79=TRUE,N72="vis"),Q72,"")</f>
        <v/>
      </c>
      <c r="P72" s="146" t="s">
        <v>57</v>
      </c>
      <c r="Q72" s="169" t="str">
        <f>"➡️ "&amp;TEXT(E72,"# ##0,##")&amp;" kroner per time  =  "&amp;TEXT(E71,"# ##0,##")&amp;" timelønn  x  sosiale utgifter"</f>
        <v>➡️  kroner per time  =   timelønn  x  sosiale utgifter</v>
      </c>
      <c r="R72" s="146" t="s">
        <v>57</v>
      </c>
    </row>
    <row r="73" spans="1:18" ht="15.75" thickTop="1" x14ac:dyDescent="0.25">
      <c r="A73" s="8"/>
      <c r="B73" s="9"/>
      <c r="C73" s="1"/>
      <c r="D73" s="3"/>
      <c r="G73" s="60"/>
      <c r="H73" s="60"/>
      <c r="I73" s="1"/>
      <c r="J73" s="9"/>
      <c r="K73" s="8"/>
      <c r="R73" s="146" t="s">
        <v>57</v>
      </c>
    </row>
    <row r="74" spans="1:18" ht="15.75" thickBot="1" x14ac:dyDescent="0.3">
      <c r="A74" s="8"/>
      <c r="B74" s="9"/>
      <c r="C74" s="1"/>
      <c r="D74" s="3" t="s">
        <v>89</v>
      </c>
      <c r="E74" s="35" t="str">
        <f>IF(N74="skjul","",E71*E67*E66)</f>
        <v/>
      </c>
      <c r="F74" s="213" t="str">
        <f>O74</f>
        <v/>
      </c>
      <c r="G74" s="60"/>
      <c r="H74" s="60"/>
      <c r="I74" s="1"/>
      <c r="J74" s="9"/>
      <c r="K74" s="8"/>
      <c r="L74" s="144"/>
      <c r="N74" s="123" t="str">
        <f>N70</f>
        <v>skjul</v>
      </c>
      <c r="O74" s="124" t="str">
        <f>IF(AND(F79=TRUE,N74="vis"),Q74,"")</f>
        <v/>
      </c>
      <c r="P74" s="146" t="s">
        <v>57</v>
      </c>
      <c r="Q74" s="169" t="str">
        <f>"➡️ "&amp;TEXT(E74,"# ##0")&amp;" kroner lønn uten feriepenger  =  "&amp;TEXT(E71,"#,##")&amp;" timelønn  x  "&amp;E66&amp;" timer per uke   x   "&amp;E67&amp;" uker"</f>
        <v>➡️  kroner lønn uten feriepenger  =   timelønn  x   timer per uke   x    uker</v>
      </c>
      <c r="R74" s="146" t="s">
        <v>57</v>
      </c>
    </row>
    <row r="75" spans="1:18" ht="16.5" thickTop="1" thickBot="1" x14ac:dyDescent="0.3">
      <c r="A75" s="8"/>
      <c r="B75" s="9"/>
      <c r="C75" s="1"/>
      <c r="D75" s="3" t="s">
        <v>30</v>
      </c>
      <c r="E75" s="36" t="str">
        <f>IF(N74="skjul","",(E74)*E60)</f>
        <v/>
      </c>
      <c r="F75" s="213" t="str">
        <f>O75</f>
        <v/>
      </c>
      <c r="G75" s="60"/>
      <c r="H75" s="60"/>
      <c r="I75" s="1"/>
      <c r="J75" s="9"/>
      <c r="K75" s="8"/>
      <c r="L75" s="144"/>
      <c r="N75" s="123" t="str">
        <f>N70</f>
        <v>skjul</v>
      </c>
      <c r="O75" s="124" t="str">
        <f>IF(AND(F79=TRUE,N75="vis"),Q75,"")</f>
        <v/>
      </c>
      <c r="P75" s="146" t="s">
        <v>57</v>
      </c>
      <c r="Q75" s="169" t="str">
        <f>"➡️ "&amp;TEXT(E75,"# ##0")&amp;" kroner lønn uten feriepenger  =  "&amp;TEXT(E74,"# ##0")&amp;" lønn  x  "&amp;TEXT(E60,"#,0 %")&amp;" feriepenger sats"</f>
        <v>➡️  kroner lønn uten feriepenger  =   lønn  x  ,0 % feriepenger sats</v>
      </c>
      <c r="R75" s="146" t="s">
        <v>57</v>
      </c>
    </row>
    <row r="76" spans="1:18" ht="16.5" thickTop="1" thickBot="1" x14ac:dyDescent="0.3">
      <c r="A76" s="8"/>
      <c r="B76" s="9"/>
      <c r="C76" s="1"/>
      <c r="D76" s="3" t="s">
        <v>90</v>
      </c>
      <c r="E76" s="36" t="str">
        <f>IF(N74="skjul","",(E74+E75)*E61)</f>
        <v/>
      </c>
      <c r="F76" s="213" t="str">
        <f>O76</f>
        <v/>
      </c>
      <c r="G76" s="60"/>
      <c r="H76" s="60"/>
      <c r="I76" s="1"/>
      <c r="J76" s="9"/>
      <c r="K76" s="8"/>
      <c r="L76" s="144"/>
      <c r="M76" s="144"/>
      <c r="N76" s="123" t="str">
        <f>N70</f>
        <v>skjul</v>
      </c>
      <c r="O76" s="124" t="str">
        <f>IF(AND(F79=TRUE,N76="vis"),Q76,"")</f>
        <v/>
      </c>
      <c r="P76" s="146" t="s">
        <v>57</v>
      </c>
      <c r="Q76" s="169" t="str">
        <f>"➡️ "&amp;TEXT(E76,"# ##0")&amp;" kroner pensjon  =  ("&amp;TEXT(E74,"# ##0")&amp;" lønn + "&amp;TEXT(E75,"# ##0")&amp;" feriepenger)  x  "&amp;TEXT(E61,"#,0 %")&amp;" pensjon sats"</f>
        <v>➡️  kroner pensjon  =  ( lønn +  feriepenger)  x  ,0 % pensjon sats</v>
      </c>
      <c r="R76" s="146" t="s">
        <v>57</v>
      </c>
    </row>
    <row r="77" spans="1:18" ht="16.5" customHeight="1" thickTop="1" x14ac:dyDescent="0.25">
      <c r="A77" s="8"/>
      <c r="B77" s="9"/>
      <c r="C77" s="1"/>
      <c r="D77" s="3" t="s">
        <v>22</v>
      </c>
      <c r="E77" s="37" t="str">
        <f>IF(N74="skjul","",(E74+E75+E76)*E62)</f>
        <v/>
      </c>
      <c r="F77" s="213" t="str">
        <f>O77</f>
        <v/>
      </c>
      <c r="G77" s="60"/>
      <c r="H77" s="60"/>
      <c r="I77" s="1"/>
      <c r="J77" s="9"/>
      <c r="K77" s="8"/>
      <c r="L77" s="144"/>
      <c r="N77" s="123" t="str">
        <f>N70</f>
        <v>skjul</v>
      </c>
      <c r="O77" s="124" t="str">
        <f>IF(AND(F79=TRUE,N77="vis"),Q77,"")</f>
        <v/>
      </c>
      <c r="P77" s="146" t="s">
        <v>57</v>
      </c>
      <c r="Q77" s="169" t="str">
        <f>"➡️ "&amp;TEXT(E77,"# ##0")&amp;" kroner arbeidsgiveravgift =  ("&amp;TEXT(E74,"# ##0")&amp;" lønn + "&amp;TEXT(E75,"# ##0")&amp;" feriepenger + "&amp;TEXT(E76,"# ##0")&amp;" pensjon)  x  "&amp;TEXT(E62,"#,0 %")&amp;" aga sats"</f>
        <v>➡️  kroner arbeidsgiveravgift =  ( lønn +  feriepenger +  pensjon)  x  ,0 % aga sats</v>
      </c>
      <c r="R77" s="146" t="s">
        <v>57</v>
      </c>
    </row>
    <row r="78" spans="1:18" ht="6" customHeight="1" x14ac:dyDescent="0.25">
      <c r="A78" s="8"/>
      <c r="B78" s="9"/>
      <c r="C78" s="1"/>
      <c r="D78" s="3"/>
      <c r="E78" s="4"/>
      <c r="F78" s="185"/>
      <c r="G78" s="60"/>
      <c r="H78" s="60"/>
      <c r="I78" s="1"/>
      <c r="J78" s="9"/>
      <c r="K78" s="8"/>
      <c r="N78" s="47"/>
    </row>
    <row r="79" spans="1:18" ht="18.75" customHeight="1" x14ac:dyDescent="0.3">
      <c r="A79" s="8"/>
      <c r="B79" s="10"/>
      <c r="C79" s="11"/>
      <c r="D79" s="12" t="s">
        <v>92</v>
      </c>
      <c r="E79" s="13" t="str">
        <f>IFERROR(E74+E75+E76+E77,"")</f>
        <v/>
      </c>
      <c r="F79" s="241" t="b">
        <v>0</v>
      </c>
      <c r="G79" s="182" t="s">
        <v>93</v>
      </c>
      <c r="I79" s="11"/>
      <c r="J79" s="10"/>
      <c r="K79" s="8"/>
      <c r="L79" s="5"/>
      <c r="N79" s="123" t="str">
        <f>N70</f>
        <v>skjul</v>
      </c>
      <c r="O79" s="124" t="str">
        <f>IF(AND(F79=TRUE,N79="vis"),Q79,"")</f>
        <v/>
      </c>
      <c r="P79" s="146" t="s">
        <v>57</v>
      </c>
      <c r="Q79" s="169"/>
      <c r="R79" s="146" t="s">
        <v>57</v>
      </c>
    </row>
    <row r="80" spans="1:18" s="11" customFormat="1" ht="19.5" customHeight="1" x14ac:dyDescent="0.25">
      <c r="A80" s="8"/>
      <c r="B80" s="10"/>
      <c r="C80" s="98"/>
      <c r="D80" s="137" t="s">
        <v>91</v>
      </c>
      <c r="E80" s="138" t="str">
        <f>IFERROR((E74+E75+E76+E77)/E56,"")</f>
        <v/>
      </c>
      <c r="F80" s="213"/>
      <c r="G80" s="186"/>
      <c r="H80" s="186"/>
      <c r="I80" s="98"/>
      <c r="J80" s="10"/>
      <c r="K80" s="8"/>
      <c r="L80" s="226"/>
      <c r="N80" s="123" t="str">
        <f>N70</f>
        <v>skjul</v>
      </c>
      <c r="O80" s="124" t="str">
        <f>IF(AND(F79=TRUE,N80="vis"),Q80,"")</f>
        <v/>
      </c>
      <c r="P80" s="146" t="s">
        <v>57</v>
      </c>
      <c r="Q80" s="169" t="str">
        <f>"➡️ "&amp;TEXT(E80,"# ##0")&amp;" kroner totale =  "&amp;TEXT(E74,"# ##0")&amp;" lønn + "&amp;TEXT(E75,"# ##0")&amp;" fp + "&amp;TEXT(E76,"# ##0")&amp;" pensjon + "&amp;TEXT(E77,"# ##0")&amp;" arbeidsgiveravgift"</f>
        <v>➡️  kroner totale =   lønn +  fp +  pensjon +  arbeidsgiveravgift</v>
      </c>
      <c r="R80" s="146" t="s">
        <v>57</v>
      </c>
    </row>
    <row r="81" spans="1:18" x14ac:dyDescent="0.25">
      <c r="A81" s="8"/>
      <c r="B81" s="9"/>
      <c r="E81" s="5"/>
      <c r="F81" s="117"/>
      <c r="J81" s="9"/>
      <c r="K81" s="8"/>
      <c r="L81" s="5"/>
    </row>
    <row r="82" spans="1:18" x14ac:dyDescent="0.25">
      <c r="A82" s="8"/>
      <c r="B82" s="9"/>
      <c r="E82" s="5"/>
      <c r="F82" s="117"/>
      <c r="J82" s="9"/>
      <c r="K82" s="8"/>
    </row>
    <row r="83" spans="1:18" x14ac:dyDescent="0.25">
      <c r="A83" s="8"/>
      <c r="B83" s="9"/>
      <c r="D83" s="3" t="s">
        <v>94</v>
      </c>
      <c r="E83" s="5"/>
      <c r="F83" s="117"/>
      <c r="J83" s="9"/>
      <c r="K83" s="8"/>
    </row>
    <row r="84" spans="1:18" x14ac:dyDescent="0.25">
      <c r="A84" s="8"/>
      <c r="B84" s="9"/>
      <c r="D84" s="258"/>
      <c r="E84" s="259"/>
      <c r="F84" s="259"/>
      <c r="G84" s="259"/>
      <c r="H84" s="260"/>
      <c r="J84" s="9"/>
      <c r="K84" s="8"/>
    </row>
    <row r="85" spans="1:18" x14ac:dyDescent="0.25">
      <c r="A85" s="8"/>
      <c r="B85" s="9"/>
      <c r="D85" s="252"/>
      <c r="E85" s="253"/>
      <c r="F85" s="253"/>
      <c r="G85" s="253"/>
      <c r="H85" s="254"/>
      <c r="J85" s="9"/>
      <c r="K85" s="8"/>
    </row>
    <row r="86" spans="1:18" x14ac:dyDescent="0.25">
      <c r="A86" s="8"/>
      <c r="B86" s="9"/>
      <c r="D86" s="252"/>
      <c r="E86" s="253"/>
      <c r="F86" s="253"/>
      <c r="G86" s="253"/>
      <c r="H86" s="254"/>
      <c r="J86" s="9"/>
      <c r="K86" s="8"/>
    </row>
    <row r="87" spans="1:18" x14ac:dyDescent="0.25">
      <c r="A87" s="8"/>
      <c r="B87" s="9"/>
      <c r="D87" s="252"/>
      <c r="E87" s="253"/>
      <c r="F87" s="253"/>
      <c r="G87" s="253"/>
      <c r="H87" s="254"/>
      <c r="J87" s="9"/>
      <c r="K87" s="8"/>
    </row>
    <row r="88" spans="1:18" x14ac:dyDescent="0.25">
      <c r="A88" s="8"/>
      <c r="B88" s="9"/>
      <c r="D88" s="252"/>
      <c r="E88" s="253"/>
      <c r="F88" s="253"/>
      <c r="G88" s="253"/>
      <c r="H88" s="254"/>
      <c r="J88" s="9"/>
      <c r="K88" s="8"/>
    </row>
    <row r="89" spans="1:18" x14ac:dyDescent="0.25">
      <c r="A89" s="8"/>
      <c r="B89" s="9"/>
      <c r="D89" s="255"/>
      <c r="E89" s="256"/>
      <c r="F89" s="256"/>
      <c r="G89" s="256"/>
      <c r="H89" s="257"/>
      <c r="J89" s="9"/>
      <c r="K89" s="8"/>
    </row>
    <row r="90" spans="1:18" x14ac:dyDescent="0.25">
      <c r="A90" s="8"/>
      <c r="B90" s="9"/>
      <c r="E90" s="5"/>
      <c r="F90" s="117"/>
      <c r="J90" s="9"/>
      <c r="K90" s="8"/>
    </row>
    <row r="91" spans="1:18" x14ac:dyDescent="0.25">
      <c r="A91" s="8"/>
      <c r="B91" s="9"/>
      <c r="C91" s="9"/>
      <c r="D91" s="9"/>
      <c r="E91" s="9"/>
      <c r="F91" s="92"/>
      <c r="G91" s="9"/>
      <c r="H91" s="9"/>
      <c r="I91" s="9"/>
      <c r="J91" s="9"/>
      <c r="K91" s="8"/>
    </row>
    <row r="92" spans="1:18" x14ac:dyDescent="0.25">
      <c r="A92" s="8"/>
      <c r="B92" s="9"/>
      <c r="C92" s="9"/>
      <c r="D92" s="9"/>
      <c r="E92" s="9"/>
      <c r="F92" s="92"/>
      <c r="G92" s="9"/>
      <c r="H92" s="9"/>
      <c r="I92" s="9"/>
      <c r="J92" s="9"/>
      <c r="K92" s="8"/>
    </row>
    <row r="93" spans="1:18" ht="6" customHeight="1" x14ac:dyDescent="0.25">
      <c r="A93" s="8"/>
      <c r="B93" s="8"/>
      <c r="C93" s="8"/>
      <c r="D93" s="8"/>
      <c r="E93" s="8"/>
      <c r="F93" s="91"/>
      <c r="G93" s="8"/>
      <c r="H93" s="8"/>
      <c r="I93" s="8"/>
      <c r="J93" s="8"/>
      <c r="K93" s="8"/>
    </row>
    <row r="94" spans="1:18" x14ac:dyDescent="0.25">
      <c r="A94" s="8"/>
      <c r="B94" s="9"/>
      <c r="C94" s="1"/>
      <c r="D94" s="1"/>
      <c r="E94" s="1"/>
      <c r="F94" s="95"/>
      <c r="G94" s="1"/>
      <c r="H94" s="1"/>
      <c r="I94" s="1"/>
      <c r="J94" s="9"/>
      <c r="K94" s="8"/>
      <c r="M94">
        <v>1</v>
      </c>
      <c r="N94" s="122" t="s">
        <v>73</v>
      </c>
      <c r="O94" s="122" t="s">
        <v>74</v>
      </c>
      <c r="P94" s="122" t="s">
        <v>75</v>
      </c>
      <c r="Q94" s="122" t="s">
        <v>76</v>
      </c>
      <c r="R94" s="122" t="s">
        <v>57</v>
      </c>
    </row>
    <row r="95" spans="1:18" ht="26.25" x14ac:dyDescent="0.4">
      <c r="A95" s="8"/>
      <c r="B95" s="9"/>
      <c r="C95" s="1"/>
      <c r="D95" s="227" t="s">
        <v>232</v>
      </c>
      <c r="E95" s="1"/>
      <c r="F95" s="95"/>
      <c r="G95" s="1"/>
      <c r="H95" s="1"/>
      <c r="I95" s="1"/>
      <c r="J95" s="9"/>
      <c r="K95" s="8"/>
      <c r="N95" s="122"/>
      <c r="O95" s="122"/>
      <c r="P95" s="122"/>
      <c r="Q95" s="122"/>
      <c r="R95" s="122"/>
    </row>
    <row r="96" spans="1:18" ht="15.75" thickBot="1" x14ac:dyDescent="0.3">
      <c r="A96" s="8"/>
      <c r="B96" s="9"/>
      <c r="C96" s="1"/>
      <c r="D96" s="3" t="s">
        <v>78</v>
      </c>
      <c r="E96" s="135"/>
      <c r="F96" s="90" t="str">
        <f>O96</f>
        <v xml:space="preserve">*obligatorisk </v>
      </c>
      <c r="G96" s="221"/>
      <c r="H96" s="221"/>
      <c r="I96" s="1"/>
      <c r="J96" s="9"/>
      <c r="K96" s="8"/>
      <c r="N96" s="154">
        <f>IF(E96="",1,0)</f>
        <v>1</v>
      </c>
      <c r="O96" s="124" t="str">
        <f>IF(N96=1,$P$6,"")</f>
        <v xml:space="preserve">*obligatorisk </v>
      </c>
      <c r="P96" s="146" t="s">
        <v>57</v>
      </c>
      <c r="Q96" s="146" t="s">
        <v>57</v>
      </c>
      <c r="R96" s="146" t="s">
        <v>57</v>
      </c>
    </row>
    <row r="97" spans="1:18" ht="16.5" thickTop="1" thickBot="1" x14ac:dyDescent="0.3">
      <c r="A97" s="8"/>
      <c r="B97" s="9"/>
      <c r="C97" s="1"/>
      <c r="D97" s="3" t="s">
        <v>79</v>
      </c>
      <c r="E97" s="135"/>
      <c r="F97" s="90" t="str">
        <f>O97</f>
        <v xml:space="preserve">*obligatorisk </v>
      </c>
      <c r="G97" s="221"/>
      <c r="H97" s="221"/>
      <c r="I97" s="1"/>
      <c r="J97" s="9"/>
      <c r="K97" s="8"/>
      <c r="N97" s="154">
        <f>IF(E97="",1,0)</f>
        <v>1</v>
      </c>
      <c r="O97" s="124" t="str">
        <f>IF(N97=1,$P$6,"")</f>
        <v xml:space="preserve">*obligatorisk </v>
      </c>
      <c r="P97" s="146" t="s">
        <v>57</v>
      </c>
      <c r="Q97" s="146" t="s">
        <v>57</v>
      </c>
      <c r="R97" s="146" t="s">
        <v>57</v>
      </c>
    </row>
    <row r="98" spans="1:18" ht="16.5" thickTop="1" thickBot="1" x14ac:dyDescent="0.3">
      <c r="A98" s="8"/>
      <c r="B98" s="9"/>
      <c r="C98" s="1"/>
      <c r="D98" s="3" t="s">
        <v>80</v>
      </c>
      <c r="E98" s="87"/>
      <c r="F98" s="90" t="str">
        <f t="shared" ref="F98" si="6">O98</f>
        <v xml:space="preserve">*obligatorisk </v>
      </c>
      <c r="G98" s="221"/>
      <c r="H98" s="221"/>
      <c r="I98" s="1"/>
      <c r="J98" s="9"/>
      <c r="K98" s="8"/>
      <c r="N98" s="154">
        <f>IFERROR(IF(E98="",1,IF(E98=Innstillinger!$B$8,1,IF(E98/1&lt;1,2,0))),3)</f>
        <v>1</v>
      </c>
      <c r="O98" s="124" t="str">
        <f>IF(N98=1,$P$6,"")</f>
        <v xml:space="preserve">*obligatorisk </v>
      </c>
      <c r="P98" s="146" t="s">
        <v>57</v>
      </c>
      <c r="Q98" s="146" t="s">
        <v>57</v>
      </c>
      <c r="R98" s="146" t="s">
        <v>57</v>
      </c>
    </row>
    <row r="99" spans="1:18" ht="15.75" thickTop="1" x14ac:dyDescent="0.25">
      <c r="A99" s="8"/>
      <c r="B99" s="9"/>
      <c r="C99" s="1"/>
      <c r="D99" s="3"/>
      <c r="E99" s="3"/>
      <c r="F99" s="261" t="str">
        <f>O101</f>
        <v xml:space="preserve">*obligatorisk </v>
      </c>
      <c r="G99" s="261"/>
      <c r="H99" s="261"/>
      <c r="I99" s="1"/>
      <c r="J99" s="9"/>
      <c r="K99" s="8"/>
      <c r="N99" s="154">
        <f>N101</f>
        <v>1</v>
      </c>
      <c r="O99" s="47"/>
      <c r="P99" s="136"/>
    </row>
    <row r="100" spans="1:18" x14ac:dyDescent="0.25">
      <c r="A100" s="8"/>
      <c r="B100" s="9"/>
      <c r="C100" s="1"/>
      <c r="D100" s="3"/>
      <c r="E100" s="3"/>
      <c r="F100" s="261"/>
      <c r="G100" s="261"/>
      <c r="H100" s="261"/>
      <c r="I100" s="1"/>
      <c r="J100" s="9"/>
      <c r="K100" s="8"/>
      <c r="N100" s="154"/>
      <c r="O100" s="47"/>
      <c r="P100" s="136"/>
    </row>
    <row r="101" spans="1:18" ht="15.75" thickBot="1" x14ac:dyDescent="0.3">
      <c r="A101" s="8"/>
      <c r="B101" s="9"/>
      <c r="C101" s="1"/>
      <c r="D101" s="3" t="s">
        <v>81</v>
      </c>
      <c r="E101" s="132"/>
      <c r="F101" s="261"/>
      <c r="G101" s="261"/>
      <c r="H101" s="261"/>
      <c r="I101" s="1"/>
      <c r="J101" s="9"/>
      <c r="K101" s="8"/>
      <c r="M101" s="155"/>
      <c r="N101" s="154">
        <f>IFERROR(IF(E101="",1,IF(E101=Innstillinger!$B$8,1,IF(E101/1&lt;0,2,0))),3)</f>
        <v>1</v>
      </c>
      <c r="O101" s="124" t="str">
        <f>IF(N101=1,$P$6,IF(E114="","",IF(E114&gt;$P$3,P101,"")))</f>
        <v xml:space="preserve">*obligatorisk </v>
      </c>
      <c r="P101" s="168" t="str">
        <f>"⚠️ Årslønnen dere oppgir, utgjør en høy timesats for en ansatt uten undervisningstid. Timesats over "&amp;$P$3&amp;" kroner, inkludert sosiale utgifter, må dokumenteres. Vi ber dere derfor legge ved underbilag som dokumenterer den ansattes årslønn."</f>
        <v>⚠️ Årslønnen dere oppgir, utgjør en høy timesats for en ansatt uten undervisningstid. Timesats over 650 kroner, inkludert sosiale utgifter, må dokumenteres. Vi ber dere derfor legge ved underbilag som dokumenterer den ansattes årslønn.</v>
      </c>
      <c r="Q101" s="146" t="s">
        <v>57</v>
      </c>
      <c r="R101" s="146" t="s">
        <v>57</v>
      </c>
    </row>
    <row r="102" spans="1:18" ht="16.5" thickTop="1" thickBot="1" x14ac:dyDescent="0.3">
      <c r="A102" s="8"/>
      <c r="B102" s="9"/>
      <c r="C102" s="1"/>
      <c r="D102" s="3" t="s">
        <v>82</v>
      </c>
      <c r="E102" s="16"/>
      <c r="F102" s="90" t="str">
        <f t="shared" ref="F102:F104" si="7">O102</f>
        <v xml:space="preserve">*obligatorisk </v>
      </c>
      <c r="G102" s="222"/>
      <c r="H102" s="222"/>
      <c r="I102" s="1"/>
      <c r="J102" s="9"/>
      <c r="K102" s="8"/>
      <c r="N102" s="154">
        <f>IFERROR(IF(E102="",1,IF(E102=Innstillinger!$B$8,1,IF(AND(E102&lt;&gt;12%,E102&lt;&gt;14.3%),2,0))),3)</f>
        <v>1</v>
      </c>
      <c r="O102" s="124" t="str">
        <f>IF(N102=1,$P$6,"")</f>
        <v xml:space="preserve">*obligatorisk </v>
      </c>
      <c r="P102" s="146" t="s">
        <v>57</v>
      </c>
      <c r="Q102" s="146" t="s">
        <v>57</v>
      </c>
      <c r="R102" s="146" t="s">
        <v>57</v>
      </c>
    </row>
    <row r="103" spans="1:18" ht="16.5" thickTop="1" thickBot="1" x14ac:dyDescent="0.3">
      <c r="A103" s="8"/>
      <c r="B103" s="9"/>
      <c r="C103" s="1"/>
      <c r="D103" s="3" t="s">
        <v>83</v>
      </c>
      <c r="E103" s="17"/>
      <c r="F103" s="153" t="str">
        <f t="shared" si="7"/>
        <v xml:space="preserve">*obligatorisk </v>
      </c>
      <c r="G103" s="221"/>
      <c r="H103" s="223"/>
      <c r="I103" s="1"/>
      <c r="J103" s="9"/>
      <c r="K103" s="8"/>
      <c r="N103" s="154">
        <f>IFERROR(IF(E103="",1,IF(E103=Innstillinger!$B$8,1,IF(E103/1&lt;2%,2,0))),3)</f>
        <v>1</v>
      </c>
      <c r="O103" s="124" t="str">
        <f>IF(N103=1,$P$6,IF(E103&gt;$P$4,P103,""))</f>
        <v xml:space="preserve">*obligatorisk </v>
      </c>
      <c r="P103" s="168" t="str">
        <f>"⚠️Dere oppgir en høy pensjonssats - over "&amp;TEXT($P$4,"#%")&amp;". Forklar hvorfor, og vis utregning i kommentarfeltet nederst. "</f>
        <v xml:space="preserve">⚠️Dere oppgir en høy pensjonssats - over 10%. Forklar hvorfor, og vis utregning i kommentarfeltet nederst. </v>
      </c>
      <c r="Q103" s="146" t="s">
        <v>57</v>
      </c>
      <c r="R103" s="146" t="s">
        <v>57</v>
      </c>
    </row>
    <row r="104" spans="1:18" ht="15.75" thickTop="1" x14ac:dyDescent="0.25">
      <c r="A104" s="8"/>
      <c r="B104" s="9"/>
      <c r="C104" s="1"/>
      <c r="D104" s="60" t="s">
        <v>84</v>
      </c>
      <c r="E104" s="17"/>
      <c r="F104" s="90" t="str">
        <f t="shared" si="7"/>
        <v xml:space="preserve">*obligatorisk </v>
      </c>
      <c r="G104" s="223"/>
      <c r="H104" s="49"/>
      <c r="I104" s="1"/>
      <c r="J104" s="9"/>
      <c r="K104" s="8"/>
      <c r="N104" s="154">
        <f>IFERROR(IF(E104="",1,IF(E104=Innstillinger!$B$8,1,IF(E104/1&lt;0,2,0))),3)</f>
        <v>1</v>
      </c>
      <c r="O104" s="124" t="str">
        <f>IF(N104=1,$P$6,"")</f>
        <v xml:space="preserve">*obligatorisk </v>
      </c>
      <c r="P104" s="146" t="s">
        <v>57</v>
      </c>
      <c r="Q104" s="146" t="s">
        <v>57</v>
      </c>
      <c r="R104" s="146" t="s">
        <v>57</v>
      </c>
    </row>
    <row r="105" spans="1:18" x14ac:dyDescent="0.25">
      <c r="A105" s="8"/>
      <c r="B105" s="9"/>
      <c r="C105" s="1"/>
      <c r="D105" s="69" t="s">
        <v>85</v>
      </c>
      <c r="E105" s="14"/>
      <c r="F105" s="224" t="str">
        <f>O105</f>
        <v/>
      </c>
      <c r="G105" s="225"/>
      <c r="H105" s="225"/>
      <c r="I105" s="1"/>
      <c r="J105" s="9"/>
      <c r="K105" s="8"/>
      <c r="O105" s="124" t="str">
        <f>IF(N105=1,$P$6,"")</f>
        <v/>
      </c>
      <c r="P105" s="146" t="s">
        <v>57</v>
      </c>
      <c r="Q105" s="146" t="s">
        <v>57</v>
      </c>
      <c r="R105" s="146" t="s">
        <v>57</v>
      </c>
    </row>
    <row r="106" spans="1:18" x14ac:dyDescent="0.25">
      <c r="A106" s="8"/>
      <c r="B106" s="9"/>
      <c r="C106" s="1"/>
      <c r="D106" s="66"/>
      <c r="E106" s="14"/>
      <c r="G106" s="221"/>
      <c r="H106" s="221"/>
      <c r="I106" s="1"/>
      <c r="J106" s="9"/>
      <c r="K106" s="8"/>
      <c r="N106" s="47"/>
      <c r="O106" s="47"/>
      <c r="P106" s="136"/>
    </row>
    <row r="107" spans="1:18" ht="15.75" thickBot="1" x14ac:dyDescent="0.3">
      <c r="A107" s="8"/>
      <c r="B107" s="9"/>
      <c r="C107" s="1"/>
      <c r="D107" s="3" t="s">
        <v>20</v>
      </c>
      <c r="E107" s="132"/>
      <c r="F107" s="90" t="str">
        <f t="shared" ref="F107:F109" si="8">O107</f>
        <v xml:space="preserve">*obligatorisk </v>
      </c>
      <c r="G107" s="225"/>
      <c r="H107" s="225"/>
      <c r="I107" s="1"/>
      <c r="J107" s="9"/>
      <c r="K107" s="8"/>
      <c r="M107" s="154">
        <f>IFERROR(VLOOKUP(E107,Innstillinger!$B$40:$C$44,2,FALSE),0)</f>
        <v>0</v>
      </c>
      <c r="N107" s="154">
        <f>IFERROR(IF(E107="",1,IF(E107=Innstillinger!$B$8,1,IF(M107/1&lt;=1,2,0))),3)</f>
        <v>1</v>
      </c>
      <c r="O107" s="124" t="str">
        <f>IF(N107=1,$P$6,"")</f>
        <v xml:space="preserve">*obligatorisk </v>
      </c>
      <c r="P107" s="146" t="s">
        <v>57</v>
      </c>
      <c r="Q107" s="146" t="s">
        <v>57</v>
      </c>
      <c r="R107" s="146" t="s">
        <v>57</v>
      </c>
    </row>
    <row r="108" spans="1:18" ht="16.5" thickTop="1" thickBot="1" x14ac:dyDescent="0.3">
      <c r="A108" s="8"/>
      <c r="B108" s="9"/>
      <c r="C108" s="1"/>
      <c r="D108" s="3" t="s">
        <v>224</v>
      </c>
      <c r="E108" s="118"/>
      <c r="F108" s="90" t="str">
        <f t="shared" si="8"/>
        <v xml:space="preserve">*obligatorisk </v>
      </c>
      <c r="G108" s="221"/>
      <c r="H108" s="221"/>
      <c r="I108" s="1"/>
      <c r="J108" s="9"/>
      <c r="K108" s="8"/>
      <c r="N108" s="154">
        <f>IFERROR(IF(E108="",1,IF(E108=Innstillinger!$B$8,1,IF(E108/1&gt;M107,2,0))),3)</f>
        <v>1</v>
      </c>
      <c r="O108" s="124" t="str">
        <f>IF(N108=1,$P$6,"")</f>
        <v xml:space="preserve">*obligatorisk </v>
      </c>
      <c r="P108" s="146" t="s">
        <v>57</v>
      </c>
      <c r="Q108" s="146" t="s">
        <v>57</v>
      </c>
      <c r="R108" s="146" t="s">
        <v>57</v>
      </c>
    </row>
    <row r="109" spans="1:18" ht="15.75" thickTop="1" x14ac:dyDescent="0.25">
      <c r="A109" s="8"/>
      <c r="B109" s="9"/>
      <c r="C109" s="1"/>
      <c r="D109" s="3" t="s">
        <v>28</v>
      </c>
      <c r="E109" s="161"/>
      <c r="F109" s="90" t="str">
        <f t="shared" si="8"/>
        <v xml:space="preserve">*obligatorisk </v>
      </c>
      <c r="G109" s="221"/>
      <c r="H109" s="221"/>
      <c r="I109" s="1"/>
      <c r="J109" s="9"/>
      <c r="K109" s="8"/>
      <c r="M109" s="154">
        <f>IF(E102=14.3%,46,47)</f>
        <v>47</v>
      </c>
      <c r="N109" s="154">
        <f>IFERROR(IF(E109="",1,IF(E109=Innstillinger!$B$8,1,IF(E109/1&gt;M109,2,0))),3)</f>
        <v>1</v>
      </c>
      <c r="O109" s="124" t="str">
        <f>IF(N109=1,$P$6,"")</f>
        <v xml:space="preserve">*obligatorisk </v>
      </c>
      <c r="P109" s="146" t="s">
        <v>57</v>
      </c>
      <c r="Q109" s="146" t="s">
        <v>57</v>
      </c>
      <c r="R109" s="146" t="s">
        <v>57</v>
      </c>
    </row>
    <row r="110" spans="1:18" x14ac:dyDescent="0.25">
      <c r="A110" s="8"/>
      <c r="B110" s="9"/>
      <c r="C110" s="1"/>
      <c r="D110" s="3"/>
      <c r="E110" s="14"/>
      <c r="I110" s="1"/>
      <c r="J110" s="9"/>
      <c r="K110" s="8"/>
      <c r="O110" s="145"/>
      <c r="P110" s="145"/>
    </row>
    <row r="111" spans="1:18" x14ac:dyDescent="0.25">
      <c r="A111" s="8"/>
      <c r="B111" s="9"/>
      <c r="C111" s="1"/>
      <c r="D111" s="3"/>
      <c r="E111" s="148"/>
      <c r="F111" s="153" t="str">
        <f>IF(O115="","",P101)</f>
        <v/>
      </c>
      <c r="I111" s="1"/>
      <c r="J111" s="9"/>
      <c r="K111" s="8"/>
      <c r="N111" s="122" t="s">
        <v>87</v>
      </c>
      <c r="O111" s="122" t="s">
        <v>74</v>
      </c>
      <c r="P111" s="122" t="s">
        <v>75</v>
      </c>
      <c r="Q111" s="122" t="s">
        <v>76</v>
      </c>
      <c r="R111" s="122"/>
    </row>
    <row r="112" spans="1:18" ht="15.75" thickBot="1" x14ac:dyDescent="0.3">
      <c r="A112" s="8"/>
      <c r="B112" s="9"/>
      <c r="C112" s="1"/>
      <c r="D112" s="3" t="s">
        <v>36</v>
      </c>
      <c r="E112" s="116" t="str">
        <f>IF(N112="skjul","",E108/VLOOKUP(E107,Innstillinger!$B$40:$C$44,2,FALSE))</f>
        <v/>
      </c>
      <c r="F112" s="213" t="str">
        <f>O112</f>
        <v/>
      </c>
      <c r="G112" s="60"/>
      <c r="H112" s="60"/>
      <c r="I112" s="1"/>
      <c r="J112" s="9"/>
      <c r="K112" s="8"/>
      <c r="N112" s="123" t="str">
        <f>IF(N96+N97+N98+N101+N107+N102+N103+N104+N108+N109=0,"vis","skjul")</f>
        <v>skjul</v>
      </c>
      <c r="O112" s="124" t="str">
        <f>IF(AND(F121=TRUE,N112="vis"),Q112,"")</f>
        <v/>
      </c>
      <c r="P112" s="146" t="s">
        <v>57</v>
      </c>
      <c r="Q112" s="169" t="str">
        <f>"➡️ "&amp;TEXT(E112,"#%")&amp;" stilling  =  "&amp;E108&amp;" faktiske arbeidstimer/uke   ÷   "&amp;M107&amp;"  alminnelig arbeidstid/uke"</f>
        <v>➡️  stilling  =   faktiske arbeidstimer/uke   ÷   0  alminnelig arbeidstid/uke</v>
      </c>
      <c r="R112" s="146" t="s">
        <v>57</v>
      </c>
    </row>
    <row r="113" spans="1:18" ht="16.5" thickTop="1" thickBot="1" x14ac:dyDescent="0.3">
      <c r="A113" s="8"/>
      <c r="B113" s="9"/>
      <c r="C113" s="1"/>
      <c r="D113" s="3" t="s">
        <v>41</v>
      </c>
      <c r="E113" s="133" t="str">
        <f>IF(N113="skjul","",E101/VLOOKUP(E107,Innstillinger!$B$41:$C$44,2,FALSE)/52)</f>
        <v/>
      </c>
      <c r="F113" s="213" t="str">
        <f>O113</f>
        <v/>
      </c>
      <c r="G113" s="184"/>
      <c r="H113" s="184"/>
      <c r="I113" s="1"/>
      <c r="J113" s="9"/>
      <c r="K113" s="8"/>
      <c r="N113" s="123" t="str">
        <f>N112</f>
        <v>skjul</v>
      </c>
      <c r="O113" s="124" t="str">
        <f>IF(AND(F121=TRUE,N113="vis"),Q113,"")</f>
        <v/>
      </c>
      <c r="P113" s="146" t="s">
        <v>57</v>
      </c>
      <c r="Q113" s="169" t="str">
        <f>"➡️ "&amp;TEXT(E113,"# ##0,##")&amp;" kroner per time  =  "&amp;TEXT(E101,"# ##0,##")&amp;" årslønn  ÷  "&amp;E107&amp;"  ÷  52 uker"</f>
        <v>➡️  kroner per time  =  0, årslønn  ÷    ÷  52 uker</v>
      </c>
      <c r="R113" s="146" t="s">
        <v>57</v>
      </c>
    </row>
    <row r="114" spans="1:18" ht="16.5" thickTop="1" thickBot="1" x14ac:dyDescent="0.3">
      <c r="A114" s="8"/>
      <c r="B114" s="9"/>
      <c r="C114" s="1"/>
      <c r="D114" s="3" t="s">
        <v>88</v>
      </c>
      <c r="E114" s="115" t="str">
        <f>IF(N114="skjul","",(E113*(1+E102+E103+(E102*E103))*(1+E104)))</f>
        <v/>
      </c>
      <c r="F114" s="213" t="str">
        <f>O114</f>
        <v/>
      </c>
      <c r="G114" s="60"/>
      <c r="H114" s="60"/>
      <c r="I114" s="1"/>
      <c r="J114" s="9"/>
      <c r="K114" s="8"/>
      <c r="N114" s="123" t="str">
        <f>N112</f>
        <v>skjul</v>
      </c>
      <c r="O114" s="124" t="str">
        <f>IF(AND(F121=TRUE,N114="vis"),Q114,"")</f>
        <v/>
      </c>
      <c r="P114" s="146" t="s">
        <v>57</v>
      </c>
      <c r="Q114" s="169" t="str">
        <f>"➡️ "&amp;TEXT(E114,"# ##0,##")&amp;" kroner per time  =  "&amp;TEXT(E113,"# ##0,##")&amp;" timelønn  x  sosiale utgifter"</f>
        <v>➡️  kroner per time  =   timelønn  x  sosiale utgifter</v>
      </c>
      <c r="R114" s="146" t="s">
        <v>57</v>
      </c>
    </row>
    <row r="115" spans="1:18" ht="15.75" thickTop="1" x14ac:dyDescent="0.25">
      <c r="A115" s="8"/>
      <c r="B115" s="9"/>
      <c r="C115" s="1"/>
      <c r="D115" s="3"/>
      <c r="G115" s="60"/>
      <c r="H115" s="60"/>
      <c r="I115" s="1"/>
      <c r="J115" s="9"/>
      <c r="K115" s="8"/>
      <c r="R115" s="146" t="s">
        <v>57</v>
      </c>
    </row>
    <row r="116" spans="1:18" ht="15.75" thickBot="1" x14ac:dyDescent="0.3">
      <c r="A116" s="8"/>
      <c r="B116" s="9"/>
      <c r="C116" s="1"/>
      <c r="D116" s="3" t="s">
        <v>89</v>
      </c>
      <c r="E116" s="35" t="str">
        <f>IF(N116="skjul","",E113*E109*E108)</f>
        <v/>
      </c>
      <c r="F116" s="213" t="str">
        <f>O116</f>
        <v/>
      </c>
      <c r="G116" s="60"/>
      <c r="H116" s="60"/>
      <c r="I116" s="1"/>
      <c r="J116" s="9"/>
      <c r="K116" s="8"/>
      <c r="L116" s="144"/>
      <c r="N116" s="123" t="str">
        <f>N112</f>
        <v>skjul</v>
      </c>
      <c r="O116" s="124" t="str">
        <f>IF(AND(F121=TRUE,N116="vis"),Q116,"")</f>
        <v/>
      </c>
      <c r="P116" s="146" t="s">
        <v>57</v>
      </c>
      <c r="Q116" s="169" t="str">
        <f>"➡️ "&amp;TEXT(E116,"# ##0")&amp;" kroner lønn uten feriepenger  =  "&amp;TEXT(E113,"#,##")&amp;" timelønn  x  "&amp;E108&amp;" timer per uke   x   "&amp;E109&amp;" uker"</f>
        <v>➡️  kroner lønn uten feriepenger  =   timelønn  x   timer per uke   x    uker</v>
      </c>
      <c r="R116" s="146" t="s">
        <v>57</v>
      </c>
    </row>
    <row r="117" spans="1:18" ht="16.5" thickTop="1" thickBot="1" x14ac:dyDescent="0.3">
      <c r="A117" s="8"/>
      <c r="B117" s="9"/>
      <c r="C117" s="1"/>
      <c r="D117" s="3" t="s">
        <v>30</v>
      </c>
      <c r="E117" s="36" t="str">
        <f>IF(N116="skjul","",(E116)*E102)</f>
        <v/>
      </c>
      <c r="F117" s="213" t="str">
        <f>O117</f>
        <v/>
      </c>
      <c r="G117" s="60"/>
      <c r="H117" s="60"/>
      <c r="I117" s="1"/>
      <c r="J117" s="9"/>
      <c r="K117" s="8"/>
      <c r="L117" s="144"/>
      <c r="N117" s="123" t="str">
        <f>N112</f>
        <v>skjul</v>
      </c>
      <c r="O117" s="124" t="str">
        <f>IF(AND(F121=TRUE,N117="vis"),Q117,"")</f>
        <v/>
      </c>
      <c r="P117" s="146" t="s">
        <v>57</v>
      </c>
      <c r="Q117" s="169" t="str">
        <f>"➡️ "&amp;TEXT(E117,"# ##0")&amp;" kroner lønn uten feriepenger  =  "&amp;TEXT(E116,"# ##0")&amp;" lønn  x  "&amp;TEXT(E102,"#,0 %")&amp;" feriepenger sats"</f>
        <v>➡️  kroner lønn uten feriepenger  =   lønn  x  ,0 % feriepenger sats</v>
      </c>
      <c r="R117" s="146" t="s">
        <v>57</v>
      </c>
    </row>
    <row r="118" spans="1:18" ht="16.5" thickTop="1" thickBot="1" x14ac:dyDescent="0.3">
      <c r="A118" s="8"/>
      <c r="B118" s="9"/>
      <c r="C118" s="1"/>
      <c r="D118" s="3" t="s">
        <v>90</v>
      </c>
      <c r="E118" s="36" t="str">
        <f>IF(N116="skjul","",(E116+E117)*E103)</f>
        <v/>
      </c>
      <c r="F118" s="213" t="str">
        <f>O118</f>
        <v/>
      </c>
      <c r="G118" s="60"/>
      <c r="H118" s="60"/>
      <c r="I118" s="1"/>
      <c r="J118" s="9"/>
      <c r="K118" s="8"/>
      <c r="L118" s="144"/>
      <c r="M118" s="144"/>
      <c r="N118" s="123" t="str">
        <f>N112</f>
        <v>skjul</v>
      </c>
      <c r="O118" s="124" t="str">
        <f>IF(AND(F121=TRUE,N118="vis"),Q118,"")</f>
        <v/>
      </c>
      <c r="P118" s="146" t="s">
        <v>57</v>
      </c>
      <c r="Q118" s="169" t="str">
        <f>"➡️ "&amp;TEXT(E118,"# ##0")&amp;" kroner pensjon  =  ("&amp;TEXT(E116,"# ##0")&amp;" lønn + "&amp;TEXT(E117,"# ##0")&amp;" feriepenger)  x  "&amp;TEXT(E103,"#,0 %")&amp;" pensjon sats"</f>
        <v>➡️  kroner pensjon  =  ( lønn +  feriepenger)  x  ,0 % pensjon sats</v>
      </c>
      <c r="R118" s="146" t="s">
        <v>57</v>
      </c>
    </row>
    <row r="119" spans="1:18" ht="16.5" customHeight="1" thickTop="1" x14ac:dyDescent="0.25">
      <c r="A119" s="8"/>
      <c r="B119" s="9"/>
      <c r="C119" s="1"/>
      <c r="D119" s="3" t="s">
        <v>22</v>
      </c>
      <c r="E119" s="37" t="str">
        <f>IF(N116="skjul","",(E116+E117+E118)*E104)</f>
        <v/>
      </c>
      <c r="F119" s="213" t="str">
        <f>O119</f>
        <v/>
      </c>
      <c r="G119" s="60"/>
      <c r="H119" s="60"/>
      <c r="I119" s="1"/>
      <c r="J119" s="9"/>
      <c r="K119" s="8"/>
      <c r="L119" s="144"/>
      <c r="N119" s="123" t="str">
        <f>N112</f>
        <v>skjul</v>
      </c>
      <c r="O119" s="124" t="str">
        <f>IF(AND(F121=TRUE,N119="vis"),Q119,"")</f>
        <v/>
      </c>
      <c r="P119" s="146" t="s">
        <v>57</v>
      </c>
      <c r="Q119" s="169" t="str">
        <f>"➡️ "&amp;TEXT(E119,"# ##0")&amp;" kroner arbeidsgiveravgift =  ("&amp;TEXT(E116,"# ##0")&amp;" lønn + "&amp;TEXT(E117,"# ##0")&amp;" feriepenger + "&amp;TEXT(E118,"# ##0")&amp;" pensjon)  x  "&amp;TEXT(E104,"#,0 %")&amp;" aga sats"</f>
        <v>➡️  kroner arbeidsgiveravgift =  ( lønn +  feriepenger +  pensjon)  x  ,0 % aga sats</v>
      </c>
      <c r="R119" s="146" t="s">
        <v>57</v>
      </c>
    </row>
    <row r="120" spans="1:18" ht="6" customHeight="1" x14ac:dyDescent="0.25">
      <c r="A120" s="8"/>
      <c r="B120" s="9"/>
      <c r="C120" s="1"/>
      <c r="D120" s="3"/>
      <c r="E120" s="4"/>
      <c r="F120" s="185"/>
      <c r="G120" s="60"/>
      <c r="H120" s="60"/>
      <c r="I120" s="1"/>
      <c r="J120" s="9"/>
      <c r="K120" s="8"/>
      <c r="N120" s="47"/>
    </row>
    <row r="121" spans="1:18" ht="18.75" customHeight="1" x14ac:dyDescent="0.3">
      <c r="A121" s="8"/>
      <c r="B121" s="10"/>
      <c r="C121" s="11"/>
      <c r="D121" s="12" t="s">
        <v>92</v>
      </c>
      <c r="E121" s="13" t="str">
        <f>IFERROR(E116+E117+E118+E119,"")</f>
        <v/>
      </c>
      <c r="F121" s="241" t="b">
        <v>0</v>
      </c>
      <c r="G121" s="182" t="s">
        <v>93</v>
      </c>
      <c r="I121" s="11"/>
      <c r="J121" s="10"/>
      <c r="K121" s="8"/>
      <c r="L121" s="5"/>
      <c r="N121" s="123" t="str">
        <f>N112</f>
        <v>skjul</v>
      </c>
      <c r="O121" s="124" t="str">
        <f>IF(AND(F121=TRUE,N121="vis"),Q121,"")</f>
        <v/>
      </c>
      <c r="P121" s="146" t="s">
        <v>57</v>
      </c>
      <c r="Q121" s="169"/>
      <c r="R121" s="146" t="s">
        <v>57</v>
      </c>
    </row>
    <row r="122" spans="1:18" s="11" customFormat="1" ht="19.5" customHeight="1" x14ac:dyDescent="0.25">
      <c r="A122" s="8"/>
      <c r="B122" s="10"/>
      <c r="C122" s="98"/>
      <c r="D122" s="137" t="s">
        <v>91</v>
      </c>
      <c r="E122" s="138" t="str">
        <f>IFERROR((E116+E117+E118+E119)/E98,"")</f>
        <v/>
      </c>
      <c r="F122" s="213"/>
      <c r="G122" s="186"/>
      <c r="H122" s="186"/>
      <c r="I122" s="98"/>
      <c r="J122" s="10"/>
      <c r="K122" s="8"/>
      <c r="L122" s="226"/>
      <c r="N122" s="123" t="str">
        <f>N112</f>
        <v>skjul</v>
      </c>
      <c r="O122" s="124" t="str">
        <f>IF(AND(F121=TRUE,N122="vis"),Q122,"")</f>
        <v/>
      </c>
      <c r="P122" s="146" t="s">
        <v>57</v>
      </c>
      <c r="Q122" s="169" t="str">
        <f>"➡️ "&amp;TEXT(E122,"# ##0")&amp;" kroner totale =  "&amp;TEXT(E116,"# ##0")&amp;" lønn + "&amp;TEXT(E117,"# ##0")&amp;" fp + "&amp;TEXT(E118,"# ##0")&amp;" pensjon + "&amp;TEXT(E119,"# ##0")&amp;" arbeidsgiveravgift"</f>
        <v>➡️  kroner totale =   lønn +  fp +  pensjon +  arbeidsgiveravgift</v>
      </c>
      <c r="R122" s="146" t="s">
        <v>57</v>
      </c>
    </row>
    <row r="123" spans="1:18" x14ac:dyDescent="0.25">
      <c r="A123" s="8"/>
      <c r="B123" s="9"/>
      <c r="E123" s="5"/>
      <c r="F123" s="117"/>
      <c r="J123" s="9"/>
      <c r="K123" s="8"/>
      <c r="L123" s="5"/>
    </row>
    <row r="124" spans="1:18" x14ac:dyDescent="0.25">
      <c r="A124" s="8"/>
      <c r="B124" s="9"/>
      <c r="E124" s="5"/>
      <c r="F124" s="117"/>
      <c r="J124" s="9"/>
      <c r="K124" s="8"/>
    </row>
    <row r="125" spans="1:18" x14ac:dyDescent="0.25">
      <c r="A125" s="8"/>
      <c r="B125" s="9"/>
      <c r="D125" s="3" t="s">
        <v>94</v>
      </c>
      <c r="E125" s="5"/>
      <c r="F125" s="117"/>
      <c r="J125" s="9"/>
      <c r="K125" s="8"/>
    </row>
    <row r="126" spans="1:18" x14ac:dyDescent="0.25">
      <c r="A126" s="8"/>
      <c r="B126" s="9"/>
      <c r="D126" s="258"/>
      <c r="E126" s="259"/>
      <c r="F126" s="259"/>
      <c r="G126" s="259"/>
      <c r="H126" s="260"/>
      <c r="J126" s="9"/>
      <c r="K126" s="8"/>
    </row>
    <row r="127" spans="1:18" x14ac:dyDescent="0.25">
      <c r="A127" s="8"/>
      <c r="B127" s="9"/>
      <c r="D127" s="252"/>
      <c r="E127" s="253"/>
      <c r="F127" s="253"/>
      <c r="G127" s="253"/>
      <c r="H127" s="254"/>
      <c r="J127" s="9"/>
      <c r="K127" s="8"/>
    </row>
    <row r="128" spans="1:18" x14ac:dyDescent="0.25">
      <c r="A128" s="8"/>
      <c r="B128" s="9"/>
      <c r="D128" s="252"/>
      <c r="E128" s="253"/>
      <c r="F128" s="253"/>
      <c r="G128" s="253"/>
      <c r="H128" s="254"/>
      <c r="J128" s="9"/>
      <c r="K128" s="8"/>
    </row>
    <row r="129" spans="1:18" x14ac:dyDescent="0.25">
      <c r="A129" s="8"/>
      <c r="B129" s="9"/>
      <c r="D129" s="252"/>
      <c r="E129" s="253"/>
      <c r="F129" s="253"/>
      <c r="G129" s="253"/>
      <c r="H129" s="254"/>
      <c r="J129" s="9"/>
      <c r="K129" s="8"/>
    </row>
    <row r="130" spans="1:18" x14ac:dyDescent="0.25">
      <c r="A130" s="8"/>
      <c r="B130" s="9"/>
      <c r="D130" s="252"/>
      <c r="E130" s="253"/>
      <c r="F130" s="253"/>
      <c r="G130" s="253"/>
      <c r="H130" s="254"/>
      <c r="J130" s="9"/>
      <c r="K130" s="8"/>
    </row>
    <row r="131" spans="1:18" x14ac:dyDescent="0.25">
      <c r="A131" s="8"/>
      <c r="B131" s="9"/>
      <c r="D131" s="255"/>
      <c r="E131" s="256"/>
      <c r="F131" s="256"/>
      <c r="G131" s="256"/>
      <c r="H131" s="257"/>
      <c r="J131" s="9"/>
      <c r="K131" s="8"/>
    </row>
    <row r="132" spans="1:18" x14ac:dyDescent="0.25">
      <c r="A132" s="8"/>
      <c r="B132" s="9"/>
      <c r="E132" s="5"/>
      <c r="F132" s="117"/>
      <c r="J132" s="9"/>
      <c r="K132" s="8"/>
    </row>
    <row r="133" spans="1:18" x14ac:dyDescent="0.25">
      <c r="A133" s="8"/>
      <c r="B133" s="9"/>
      <c r="C133" s="9"/>
      <c r="D133" s="9"/>
      <c r="E133" s="9"/>
      <c r="F133" s="92"/>
      <c r="G133" s="9"/>
      <c r="H133" s="9"/>
      <c r="I133" s="9"/>
      <c r="J133" s="9"/>
      <c r="K133" s="8"/>
    </row>
    <row r="134" spans="1:18" x14ac:dyDescent="0.25">
      <c r="A134" s="8"/>
      <c r="B134" s="9"/>
      <c r="C134" s="9"/>
      <c r="D134" s="9"/>
      <c r="E134" s="9"/>
      <c r="F134" s="92"/>
      <c r="G134" s="9"/>
      <c r="H134" s="9"/>
      <c r="I134" s="9"/>
      <c r="J134" s="9"/>
      <c r="K134" s="8"/>
    </row>
    <row r="135" spans="1:18" ht="6" customHeight="1" x14ac:dyDescent="0.25">
      <c r="A135" s="8"/>
      <c r="B135" s="8"/>
      <c r="C135" s="8"/>
      <c r="D135" s="8"/>
      <c r="E135" s="8"/>
      <c r="F135" s="91"/>
      <c r="G135" s="8"/>
      <c r="H135" s="8"/>
      <c r="I135" s="8"/>
      <c r="J135" s="8"/>
      <c r="K135" s="8"/>
    </row>
    <row r="136" spans="1:18" x14ac:dyDescent="0.25">
      <c r="A136" s="8"/>
      <c r="B136" s="9"/>
      <c r="C136" s="1"/>
      <c r="D136" s="1"/>
      <c r="E136" s="1"/>
      <c r="F136" s="95"/>
      <c r="G136" s="1"/>
      <c r="H136" s="1"/>
      <c r="I136" s="1"/>
      <c r="J136" s="9"/>
      <c r="K136" s="8"/>
      <c r="M136">
        <v>1</v>
      </c>
      <c r="N136" s="122" t="s">
        <v>73</v>
      </c>
      <c r="O136" s="122" t="s">
        <v>74</v>
      </c>
      <c r="P136" s="122" t="s">
        <v>75</v>
      </c>
      <c r="Q136" s="122" t="s">
        <v>76</v>
      </c>
      <c r="R136" s="122" t="s">
        <v>57</v>
      </c>
    </row>
    <row r="137" spans="1:18" ht="26.25" x14ac:dyDescent="0.4">
      <c r="A137" s="8"/>
      <c r="B137" s="9"/>
      <c r="C137" s="1"/>
      <c r="D137" s="227" t="s">
        <v>231</v>
      </c>
      <c r="E137" s="1"/>
      <c r="F137" s="95"/>
      <c r="G137" s="1"/>
      <c r="H137" s="1"/>
      <c r="I137" s="1"/>
      <c r="J137" s="9"/>
      <c r="K137" s="8"/>
      <c r="N137" s="122"/>
      <c r="O137" s="122"/>
      <c r="P137" s="122"/>
      <c r="Q137" s="122"/>
      <c r="R137" s="122"/>
    </row>
    <row r="138" spans="1:18" ht="15.75" thickBot="1" x14ac:dyDescent="0.3">
      <c r="A138" s="8"/>
      <c r="B138" s="9"/>
      <c r="C138" s="1"/>
      <c r="D138" s="3" t="s">
        <v>78</v>
      </c>
      <c r="E138" s="135"/>
      <c r="F138" s="90" t="str">
        <f>O138</f>
        <v xml:space="preserve">*obligatorisk </v>
      </c>
      <c r="G138" s="221"/>
      <c r="H138" s="221"/>
      <c r="I138" s="1"/>
      <c r="J138" s="9"/>
      <c r="K138" s="8"/>
      <c r="N138" s="154">
        <f>IF(E138="",1,0)</f>
        <v>1</v>
      </c>
      <c r="O138" s="124" t="str">
        <f>IF(N138=1,$P$6,"")</f>
        <v xml:space="preserve">*obligatorisk </v>
      </c>
      <c r="P138" s="146" t="s">
        <v>57</v>
      </c>
      <c r="Q138" s="146" t="s">
        <v>57</v>
      </c>
      <c r="R138" s="146" t="s">
        <v>57</v>
      </c>
    </row>
    <row r="139" spans="1:18" ht="16.5" thickTop="1" thickBot="1" x14ac:dyDescent="0.3">
      <c r="A139" s="8"/>
      <c r="B139" s="9"/>
      <c r="C139" s="1"/>
      <c r="D139" s="3" t="s">
        <v>79</v>
      </c>
      <c r="E139" s="135"/>
      <c r="F139" s="90" t="str">
        <f>O139</f>
        <v xml:space="preserve">*obligatorisk </v>
      </c>
      <c r="G139" s="221"/>
      <c r="H139" s="221"/>
      <c r="I139" s="1"/>
      <c r="J139" s="9"/>
      <c r="K139" s="8"/>
      <c r="N139" s="154">
        <f>IF(E139="",1,0)</f>
        <v>1</v>
      </c>
      <c r="O139" s="124" t="str">
        <f>IF(N139=1,$P$6,"")</f>
        <v xml:space="preserve">*obligatorisk </v>
      </c>
      <c r="P139" s="146" t="s">
        <v>57</v>
      </c>
      <c r="Q139" s="146" t="s">
        <v>57</v>
      </c>
      <c r="R139" s="146" t="s">
        <v>57</v>
      </c>
    </row>
    <row r="140" spans="1:18" ht="16.5" thickTop="1" thickBot="1" x14ac:dyDescent="0.3">
      <c r="A140" s="8"/>
      <c r="B140" s="9"/>
      <c r="C140" s="1"/>
      <c r="D140" s="3" t="s">
        <v>80</v>
      </c>
      <c r="E140" s="87"/>
      <c r="F140" s="90" t="str">
        <f t="shared" ref="F140" si="9">O140</f>
        <v xml:space="preserve">*obligatorisk </v>
      </c>
      <c r="G140" s="221"/>
      <c r="H140" s="221"/>
      <c r="I140" s="1"/>
      <c r="J140" s="9"/>
      <c r="K140" s="8"/>
      <c r="N140" s="154">
        <f>IFERROR(IF(E140="",1,IF(E140=Innstillinger!$B$8,1,IF(E140/1&lt;1,2,0))),3)</f>
        <v>1</v>
      </c>
      <c r="O140" s="124" t="str">
        <f>IF(N140=1,$P$6,"")</f>
        <v xml:space="preserve">*obligatorisk </v>
      </c>
      <c r="P140" s="146" t="s">
        <v>57</v>
      </c>
      <c r="Q140" s="146" t="s">
        <v>57</v>
      </c>
      <c r="R140" s="146" t="s">
        <v>57</v>
      </c>
    </row>
    <row r="141" spans="1:18" ht="15.75" thickTop="1" x14ac:dyDescent="0.25">
      <c r="A141" s="8"/>
      <c r="B141" s="9"/>
      <c r="C141" s="1"/>
      <c r="D141" s="3"/>
      <c r="E141" s="3"/>
      <c r="F141" s="261" t="str">
        <f>O143</f>
        <v xml:space="preserve">*obligatorisk </v>
      </c>
      <c r="G141" s="261"/>
      <c r="H141" s="261"/>
      <c r="I141" s="1"/>
      <c r="J141" s="9"/>
      <c r="K141" s="8"/>
      <c r="N141" s="154">
        <f>N143</f>
        <v>1</v>
      </c>
      <c r="O141" s="47"/>
      <c r="P141" s="136"/>
    </row>
    <row r="142" spans="1:18" x14ac:dyDescent="0.25">
      <c r="A142" s="8"/>
      <c r="B142" s="9"/>
      <c r="C142" s="1"/>
      <c r="D142" s="3"/>
      <c r="E142" s="3"/>
      <c r="F142" s="261"/>
      <c r="G142" s="261"/>
      <c r="H142" s="261"/>
      <c r="I142" s="1"/>
      <c r="J142" s="9"/>
      <c r="K142" s="8"/>
      <c r="N142" s="154"/>
      <c r="O142" s="47"/>
      <c r="P142" s="136"/>
    </row>
    <row r="143" spans="1:18" ht="15.75" thickBot="1" x14ac:dyDescent="0.3">
      <c r="A143" s="8"/>
      <c r="B143" s="9"/>
      <c r="C143" s="1"/>
      <c r="D143" s="3" t="s">
        <v>81</v>
      </c>
      <c r="E143" s="132"/>
      <c r="F143" s="261"/>
      <c r="G143" s="261"/>
      <c r="H143" s="261"/>
      <c r="I143" s="1"/>
      <c r="J143" s="9"/>
      <c r="K143" s="8"/>
      <c r="M143" s="155"/>
      <c r="N143" s="154">
        <f>IFERROR(IF(E143="",1,IF(E143=Innstillinger!$B$8,1,IF(E143/1&lt;0,2,0))),3)</f>
        <v>1</v>
      </c>
      <c r="O143" s="124" t="str">
        <f>IF(N143=1,$P$6,IF(E156="","",IF(E156&gt;$P$3,P143,"")))</f>
        <v xml:space="preserve">*obligatorisk </v>
      </c>
      <c r="P143" s="168" t="str">
        <f>"⚠️ Årslønnen dere oppgir, utgjør en høy timesats for en ansatt uten undervisningstid. Timesats over "&amp;$P$3&amp;" kroner, inkludert sosiale utgifter, må dokumenteres. Vi ber dere derfor legge ved underbilag som dokumenterer den ansattes årslønn."</f>
        <v>⚠️ Årslønnen dere oppgir, utgjør en høy timesats for en ansatt uten undervisningstid. Timesats over 650 kroner, inkludert sosiale utgifter, må dokumenteres. Vi ber dere derfor legge ved underbilag som dokumenterer den ansattes årslønn.</v>
      </c>
      <c r="Q143" s="146" t="s">
        <v>57</v>
      </c>
      <c r="R143" s="146" t="s">
        <v>57</v>
      </c>
    </row>
    <row r="144" spans="1:18" ht="16.5" thickTop="1" thickBot="1" x14ac:dyDescent="0.3">
      <c r="A144" s="8"/>
      <c r="B144" s="9"/>
      <c r="C144" s="1"/>
      <c r="D144" s="3" t="s">
        <v>82</v>
      </c>
      <c r="E144" s="16"/>
      <c r="F144" s="90" t="str">
        <f t="shared" ref="F144:F146" si="10">O144</f>
        <v xml:space="preserve">*obligatorisk </v>
      </c>
      <c r="G144" s="222"/>
      <c r="H144" s="222"/>
      <c r="I144" s="1"/>
      <c r="J144" s="9"/>
      <c r="K144" s="8"/>
      <c r="N144" s="154">
        <f>IFERROR(IF(E144="",1,IF(E144=Innstillinger!$B$8,1,IF(AND(E144&lt;&gt;12%,E144&lt;&gt;14.3%),2,0))),3)</f>
        <v>1</v>
      </c>
      <c r="O144" s="124" t="str">
        <f>IF(N144=1,$P$6,"")</f>
        <v xml:space="preserve">*obligatorisk </v>
      </c>
      <c r="P144" s="146" t="s">
        <v>57</v>
      </c>
      <c r="Q144" s="146" t="s">
        <v>57</v>
      </c>
      <c r="R144" s="146" t="s">
        <v>57</v>
      </c>
    </row>
    <row r="145" spans="1:18" ht="16.5" thickTop="1" thickBot="1" x14ac:dyDescent="0.3">
      <c r="A145" s="8"/>
      <c r="B145" s="9"/>
      <c r="C145" s="1"/>
      <c r="D145" s="3" t="s">
        <v>83</v>
      </c>
      <c r="E145" s="17"/>
      <c r="F145" s="153" t="str">
        <f t="shared" si="10"/>
        <v xml:space="preserve">*obligatorisk </v>
      </c>
      <c r="G145" s="221"/>
      <c r="H145" s="223"/>
      <c r="I145" s="1"/>
      <c r="J145" s="9"/>
      <c r="K145" s="8"/>
      <c r="N145" s="154">
        <f>IFERROR(IF(E145="",1,IF(E145=Innstillinger!$B$8,1,IF(E145/1&lt;2%,2,0))),3)</f>
        <v>1</v>
      </c>
      <c r="O145" s="124" t="str">
        <f>IF(N145=1,$P$6,IF(E145&gt;$P$4,P145,""))</f>
        <v xml:space="preserve">*obligatorisk </v>
      </c>
      <c r="P145" s="168" t="str">
        <f>"⚠️Dere oppgir en høy pensjonssats - over "&amp;TEXT($P$4,"#%")&amp;". Forklar hvorfor, og vis utregning i kommentarfeltet nederst. "</f>
        <v xml:space="preserve">⚠️Dere oppgir en høy pensjonssats - over 10%. Forklar hvorfor, og vis utregning i kommentarfeltet nederst. </v>
      </c>
      <c r="Q145" s="146" t="s">
        <v>57</v>
      </c>
      <c r="R145" s="146" t="s">
        <v>57</v>
      </c>
    </row>
    <row r="146" spans="1:18" ht="15.75" thickTop="1" x14ac:dyDescent="0.25">
      <c r="A146" s="8"/>
      <c r="B146" s="9"/>
      <c r="C146" s="1"/>
      <c r="D146" s="60" t="s">
        <v>84</v>
      </c>
      <c r="E146" s="17"/>
      <c r="F146" s="90" t="str">
        <f t="shared" si="10"/>
        <v xml:space="preserve">*obligatorisk </v>
      </c>
      <c r="G146" s="223"/>
      <c r="H146" s="49"/>
      <c r="I146" s="1"/>
      <c r="J146" s="9"/>
      <c r="K146" s="8"/>
      <c r="N146" s="154">
        <f>IFERROR(IF(E146="",1,IF(E146=Innstillinger!$B$8,1,IF(E146/1&lt;0,2,0))),3)</f>
        <v>1</v>
      </c>
      <c r="O146" s="124" t="str">
        <f>IF(N146=1,$P$6,"")</f>
        <v xml:space="preserve">*obligatorisk </v>
      </c>
      <c r="P146" s="146" t="s">
        <v>57</v>
      </c>
      <c r="Q146" s="146" t="s">
        <v>57</v>
      </c>
      <c r="R146" s="146" t="s">
        <v>57</v>
      </c>
    </row>
    <row r="147" spans="1:18" x14ac:dyDescent="0.25">
      <c r="A147" s="8"/>
      <c r="B147" s="9"/>
      <c r="C147" s="1"/>
      <c r="D147" s="69" t="s">
        <v>85</v>
      </c>
      <c r="E147" s="14"/>
      <c r="F147" s="224" t="str">
        <f>O147</f>
        <v/>
      </c>
      <c r="G147" s="225"/>
      <c r="H147" s="225"/>
      <c r="I147" s="1"/>
      <c r="J147" s="9"/>
      <c r="K147" s="8"/>
      <c r="O147" s="124" t="str">
        <f>IF(N147=1,$P$6,"")</f>
        <v/>
      </c>
      <c r="P147" s="146" t="s">
        <v>57</v>
      </c>
      <c r="Q147" s="146" t="s">
        <v>57</v>
      </c>
      <c r="R147" s="146" t="s">
        <v>57</v>
      </c>
    </row>
    <row r="148" spans="1:18" x14ac:dyDescent="0.25">
      <c r="A148" s="8"/>
      <c r="B148" s="9"/>
      <c r="C148" s="1"/>
      <c r="D148" s="66"/>
      <c r="E148" s="14"/>
      <c r="G148" s="221"/>
      <c r="H148" s="221"/>
      <c r="I148" s="1"/>
      <c r="J148" s="9"/>
      <c r="K148" s="8"/>
      <c r="N148" s="47"/>
      <c r="O148" s="47"/>
      <c r="P148" s="136"/>
    </row>
    <row r="149" spans="1:18" ht="15.75" thickBot="1" x14ac:dyDescent="0.3">
      <c r="A149" s="8"/>
      <c r="B149" s="9"/>
      <c r="C149" s="1"/>
      <c r="D149" s="3" t="s">
        <v>20</v>
      </c>
      <c r="E149" s="132"/>
      <c r="F149" s="90" t="str">
        <f t="shared" ref="F149:F151" si="11">O149</f>
        <v xml:space="preserve">*obligatorisk </v>
      </c>
      <c r="G149" s="225"/>
      <c r="H149" s="225"/>
      <c r="I149" s="1"/>
      <c r="J149" s="9"/>
      <c r="K149" s="8"/>
      <c r="M149" s="154">
        <f>IFERROR(VLOOKUP(E149,Innstillinger!$B$40:$C$44,2,FALSE),0)</f>
        <v>0</v>
      </c>
      <c r="N149" s="154">
        <f>IFERROR(IF(E149="",1,IF(E149=Innstillinger!$B$8,1,IF(M149/1&lt;=1,2,0))),3)</f>
        <v>1</v>
      </c>
      <c r="O149" s="124" t="str">
        <f>IF(N149=1,$P$6,"")</f>
        <v xml:space="preserve">*obligatorisk </v>
      </c>
      <c r="P149" s="146" t="s">
        <v>57</v>
      </c>
      <c r="Q149" s="146" t="s">
        <v>57</v>
      </c>
      <c r="R149" s="146" t="s">
        <v>57</v>
      </c>
    </row>
    <row r="150" spans="1:18" ht="16.5" thickTop="1" thickBot="1" x14ac:dyDescent="0.3">
      <c r="A150" s="8"/>
      <c r="B150" s="9"/>
      <c r="C150" s="1"/>
      <c r="D150" s="3" t="s">
        <v>224</v>
      </c>
      <c r="E150" s="118"/>
      <c r="F150" s="90" t="str">
        <f t="shared" si="11"/>
        <v xml:space="preserve">*obligatorisk </v>
      </c>
      <c r="G150" s="221"/>
      <c r="H150" s="221"/>
      <c r="I150" s="1"/>
      <c r="J150" s="9"/>
      <c r="K150" s="8"/>
      <c r="N150" s="154">
        <f>IFERROR(IF(E150="",1,IF(E150=Innstillinger!$B$8,1,IF(E150/1&gt;M149,2,0))),3)</f>
        <v>1</v>
      </c>
      <c r="O150" s="124" t="str">
        <f>IF(N150=1,$P$6,"")</f>
        <v xml:space="preserve">*obligatorisk </v>
      </c>
      <c r="P150" s="146" t="s">
        <v>57</v>
      </c>
      <c r="Q150" s="146" t="s">
        <v>57</v>
      </c>
      <c r="R150" s="146" t="s">
        <v>57</v>
      </c>
    </row>
    <row r="151" spans="1:18" ht="15.75" thickTop="1" x14ac:dyDescent="0.25">
      <c r="A151" s="8"/>
      <c r="B151" s="9"/>
      <c r="C151" s="1"/>
      <c r="D151" s="3" t="s">
        <v>28</v>
      </c>
      <c r="E151" s="161"/>
      <c r="F151" s="90" t="str">
        <f t="shared" si="11"/>
        <v xml:space="preserve">*obligatorisk </v>
      </c>
      <c r="G151" s="221"/>
      <c r="H151" s="221"/>
      <c r="I151" s="1"/>
      <c r="J151" s="9"/>
      <c r="K151" s="8"/>
      <c r="M151" s="154">
        <f>IF(E144=14.3%,46,47)</f>
        <v>47</v>
      </c>
      <c r="N151" s="154">
        <f>IFERROR(IF(E151="",1,IF(E151=Innstillinger!$B$8,1,IF(E151/1&gt;M151,2,0))),3)</f>
        <v>1</v>
      </c>
      <c r="O151" s="124" t="str">
        <f>IF(N151=1,$P$6,"")</f>
        <v xml:space="preserve">*obligatorisk </v>
      </c>
      <c r="P151" s="146" t="s">
        <v>57</v>
      </c>
      <c r="Q151" s="146" t="s">
        <v>57</v>
      </c>
      <c r="R151" s="146" t="s">
        <v>57</v>
      </c>
    </row>
    <row r="152" spans="1:18" x14ac:dyDescent="0.25">
      <c r="A152" s="8"/>
      <c r="B152" s="9"/>
      <c r="C152" s="1"/>
      <c r="D152" s="3"/>
      <c r="E152" s="14"/>
      <c r="I152" s="1"/>
      <c r="J152" s="9"/>
      <c r="K152" s="8"/>
      <c r="O152" s="145"/>
      <c r="P152" s="145"/>
    </row>
    <row r="153" spans="1:18" x14ac:dyDescent="0.25">
      <c r="A153" s="8"/>
      <c r="B153" s="9"/>
      <c r="C153" s="1"/>
      <c r="D153" s="3"/>
      <c r="E153" s="148"/>
      <c r="F153" s="153" t="str">
        <f>IF(O157="","",P143)</f>
        <v/>
      </c>
      <c r="I153" s="1"/>
      <c r="J153" s="9"/>
      <c r="K153" s="8"/>
      <c r="N153" s="122" t="s">
        <v>87</v>
      </c>
      <c r="O153" s="122" t="s">
        <v>74</v>
      </c>
      <c r="P153" s="122" t="s">
        <v>75</v>
      </c>
      <c r="Q153" s="122" t="s">
        <v>76</v>
      </c>
      <c r="R153" s="122"/>
    </row>
    <row r="154" spans="1:18" ht="15.75" thickBot="1" x14ac:dyDescent="0.3">
      <c r="A154" s="8"/>
      <c r="B154" s="9"/>
      <c r="C154" s="1"/>
      <c r="D154" s="3" t="s">
        <v>36</v>
      </c>
      <c r="E154" s="116" t="str">
        <f>IF(N154="skjul","",E150/VLOOKUP(E149,Innstillinger!$B$40:$C$44,2,FALSE))</f>
        <v/>
      </c>
      <c r="F154" s="213" t="str">
        <f>O154</f>
        <v/>
      </c>
      <c r="G154" s="60"/>
      <c r="H154" s="60"/>
      <c r="I154" s="1"/>
      <c r="J154" s="9"/>
      <c r="K154" s="8"/>
      <c r="N154" s="123" t="str">
        <f>IF(N138+N139+N140+N143+N149+N144+N145+N146+N150+N151=0,"vis","skjul")</f>
        <v>skjul</v>
      </c>
      <c r="O154" s="124" t="str">
        <f>IF(AND(F163=TRUE,N154="vis"),Q154,"")</f>
        <v/>
      </c>
      <c r="P154" s="146" t="s">
        <v>57</v>
      </c>
      <c r="Q154" s="169" t="str">
        <f>"➡️ "&amp;TEXT(E154,"#%")&amp;" stilling  =  "&amp;E150&amp;" faktiske arbeidstimer/uke   ÷   "&amp;M149&amp;"  alminnelig arbeidstid/uke"</f>
        <v>➡️  stilling  =   faktiske arbeidstimer/uke   ÷   0  alminnelig arbeidstid/uke</v>
      </c>
      <c r="R154" s="146" t="s">
        <v>57</v>
      </c>
    </row>
    <row r="155" spans="1:18" ht="16.5" thickTop="1" thickBot="1" x14ac:dyDescent="0.3">
      <c r="A155" s="8"/>
      <c r="B155" s="9"/>
      <c r="C155" s="1"/>
      <c r="D155" s="3" t="s">
        <v>41</v>
      </c>
      <c r="E155" s="133" t="str">
        <f>IF(N155="skjul","",E143/VLOOKUP(E149,Innstillinger!$B$41:$C$44,2,FALSE)/52)</f>
        <v/>
      </c>
      <c r="F155" s="213" t="str">
        <f>O155</f>
        <v/>
      </c>
      <c r="G155" s="184"/>
      <c r="H155" s="184"/>
      <c r="I155" s="1"/>
      <c r="J155" s="9"/>
      <c r="K155" s="8"/>
      <c r="N155" s="123" t="str">
        <f>N154</f>
        <v>skjul</v>
      </c>
      <c r="O155" s="124" t="str">
        <f>IF(AND(F163=TRUE,N155="vis"),Q155,"")</f>
        <v/>
      </c>
      <c r="P155" s="146" t="s">
        <v>57</v>
      </c>
      <c r="Q155" s="169" t="str">
        <f>"➡️ "&amp;TEXT(E155,"# ##0,##")&amp;" kroner per time  =  "&amp;TEXT(E143,"# ##0,##")&amp;" årslønn  ÷  "&amp;E149&amp;"  ÷  52 uker"</f>
        <v>➡️  kroner per time  =  0, årslønn  ÷    ÷  52 uker</v>
      </c>
      <c r="R155" s="146" t="s">
        <v>57</v>
      </c>
    </row>
    <row r="156" spans="1:18" ht="16.5" thickTop="1" thickBot="1" x14ac:dyDescent="0.3">
      <c r="A156" s="8"/>
      <c r="B156" s="9"/>
      <c r="C156" s="1"/>
      <c r="D156" s="3" t="s">
        <v>88</v>
      </c>
      <c r="E156" s="115" t="str">
        <f>IF(N156="skjul","",(E155*(1+E144+E145+(E144*E145))*(1+E146)))</f>
        <v/>
      </c>
      <c r="F156" s="213" t="str">
        <f>O156</f>
        <v/>
      </c>
      <c r="G156" s="60"/>
      <c r="H156" s="60"/>
      <c r="I156" s="1"/>
      <c r="J156" s="9"/>
      <c r="K156" s="8"/>
      <c r="N156" s="123" t="str">
        <f>N154</f>
        <v>skjul</v>
      </c>
      <c r="O156" s="124" t="str">
        <f>IF(AND(F163=TRUE,N156="vis"),Q156,"")</f>
        <v/>
      </c>
      <c r="P156" s="146" t="s">
        <v>57</v>
      </c>
      <c r="Q156" s="169" t="str">
        <f>"➡️ "&amp;TEXT(E156,"# ##0,##")&amp;" kroner per time  =  "&amp;TEXT(E155,"# ##0,##")&amp;" timelønn  x  sosiale utgifter"</f>
        <v>➡️  kroner per time  =   timelønn  x  sosiale utgifter</v>
      </c>
      <c r="R156" s="146" t="s">
        <v>57</v>
      </c>
    </row>
    <row r="157" spans="1:18" ht="15.75" thickTop="1" x14ac:dyDescent="0.25">
      <c r="A157" s="8"/>
      <c r="B157" s="9"/>
      <c r="C157" s="1"/>
      <c r="D157" s="3"/>
      <c r="G157" s="60"/>
      <c r="H157" s="60"/>
      <c r="I157" s="1"/>
      <c r="J157" s="9"/>
      <c r="K157" s="8"/>
      <c r="R157" s="146" t="s">
        <v>57</v>
      </c>
    </row>
    <row r="158" spans="1:18" ht="15.75" thickBot="1" x14ac:dyDescent="0.3">
      <c r="A158" s="8"/>
      <c r="B158" s="9"/>
      <c r="C158" s="1"/>
      <c r="D158" s="3" t="s">
        <v>89</v>
      </c>
      <c r="E158" s="35" t="str">
        <f>IF(N158="skjul","",E155*E151*E150)</f>
        <v/>
      </c>
      <c r="F158" s="213" t="str">
        <f>O158</f>
        <v/>
      </c>
      <c r="G158" s="60"/>
      <c r="H158" s="60"/>
      <c r="I158" s="1"/>
      <c r="J158" s="9"/>
      <c r="K158" s="8"/>
      <c r="L158" s="144"/>
      <c r="N158" s="123" t="str">
        <f>N154</f>
        <v>skjul</v>
      </c>
      <c r="O158" s="124" t="str">
        <f>IF(AND(F163=TRUE,N158="vis"),Q158,"")</f>
        <v/>
      </c>
      <c r="P158" s="146" t="s">
        <v>57</v>
      </c>
      <c r="Q158" s="169" t="str">
        <f>"➡️ "&amp;TEXT(E158,"# ##0")&amp;" kroner lønn uten feriepenger  =  "&amp;TEXT(E155,"#,##")&amp;" timelønn  x  "&amp;E150&amp;" timer per uke   x   "&amp;E151&amp;" uker"</f>
        <v>➡️  kroner lønn uten feriepenger  =   timelønn  x   timer per uke   x    uker</v>
      </c>
      <c r="R158" s="146" t="s">
        <v>57</v>
      </c>
    </row>
    <row r="159" spans="1:18" ht="16.5" thickTop="1" thickBot="1" x14ac:dyDescent="0.3">
      <c r="A159" s="8"/>
      <c r="B159" s="9"/>
      <c r="C159" s="1"/>
      <c r="D159" s="3" t="s">
        <v>30</v>
      </c>
      <c r="E159" s="36" t="str">
        <f>IF(N158="skjul","",(E158)*E144)</f>
        <v/>
      </c>
      <c r="F159" s="213" t="str">
        <f>O159</f>
        <v/>
      </c>
      <c r="G159" s="60"/>
      <c r="H159" s="60"/>
      <c r="I159" s="1"/>
      <c r="J159" s="9"/>
      <c r="K159" s="8"/>
      <c r="L159" s="144"/>
      <c r="N159" s="123" t="str">
        <f>N154</f>
        <v>skjul</v>
      </c>
      <c r="O159" s="124" t="str">
        <f>IF(AND(F163=TRUE,N159="vis"),Q159,"")</f>
        <v/>
      </c>
      <c r="P159" s="146" t="s">
        <v>57</v>
      </c>
      <c r="Q159" s="169" t="str">
        <f>"➡️ "&amp;TEXT(E159,"# ##0")&amp;" kroner lønn uten feriepenger  =  "&amp;TEXT(E158,"# ##0")&amp;" lønn  x  "&amp;TEXT(E144,"#,0 %")&amp;" feriepenger sats"</f>
        <v>➡️  kroner lønn uten feriepenger  =   lønn  x  ,0 % feriepenger sats</v>
      </c>
      <c r="R159" s="146" t="s">
        <v>57</v>
      </c>
    </row>
    <row r="160" spans="1:18" ht="16.5" thickTop="1" thickBot="1" x14ac:dyDescent="0.3">
      <c r="A160" s="8"/>
      <c r="B160" s="9"/>
      <c r="C160" s="1"/>
      <c r="D160" s="3" t="s">
        <v>90</v>
      </c>
      <c r="E160" s="36" t="str">
        <f>IF(N158="skjul","",(E158+E159)*E145)</f>
        <v/>
      </c>
      <c r="F160" s="213" t="str">
        <f>O160</f>
        <v/>
      </c>
      <c r="G160" s="60"/>
      <c r="H160" s="60"/>
      <c r="I160" s="1"/>
      <c r="J160" s="9"/>
      <c r="K160" s="8"/>
      <c r="L160" s="144"/>
      <c r="M160" s="144"/>
      <c r="N160" s="123" t="str">
        <f>N154</f>
        <v>skjul</v>
      </c>
      <c r="O160" s="124" t="str">
        <f>IF(AND(F163=TRUE,N160="vis"),Q160,"")</f>
        <v/>
      </c>
      <c r="P160" s="146" t="s">
        <v>57</v>
      </c>
      <c r="Q160" s="169" t="str">
        <f>"➡️ "&amp;TEXT(E160,"# ##0")&amp;" kroner pensjon  =  ("&amp;TEXT(E158,"# ##0")&amp;" lønn + "&amp;TEXT(E159,"# ##0")&amp;" feriepenger)  x  "&amp;TEXT(E145,"#,0 %")&amp;" pensjon sats"</f>
        <v>➡️  kroner pensjon  =  ( lønn +  feriepenger)  x  ,0 % pensjon sats</v>
      </c>
      <c r="R160" s="146" t="s">
        <v>57</v>
      </c>
    </row>
    <row r="161" spans="1:18" ht="16.5" customHeight="1" thickTop="1" x14ac:dyDescent="0.25">
      <c r="A161" s="8"/>
      <c r="B161" s="9"/>
      <c r="C161" s="1"/>
      <c r="D161" s="3" t="s">
        <v>22</v>
      </c>
      <c r="E161" s="37" t="str">
        <f>IF(N158="skjul","",(E158+E159+E160)*E146)</f>
        <v/>
      </c>
      <c r="F161" s="213" t="str">
        <f>O161</f>
        <v/>
      </c>
      <c r="G161" s="60"/>
      <c r="H161" s="60"/>
      <c r="I161" s="1"/>
      <c r="J161" s="9"/>
      <c r="K161" s="8"/>
      <c r="L161" s="144"/>
      <c r="N161" s="123" t="str">
        <f>N154</f>
        <v>skjul</v>
      </c>
      <c r="O161" s="124" t="str">
        <f>IF(AND(F163=TRUE,N161="vis"),Q161,"")</f>
        <v/>
      </c>
      <c r="P161" s="146" t="s">
        <v>57</v>
      </c>
      <c r="Q161" s="169" t="str">
        <f>"➡️ "&amp;TEXT(E161,"# ##0")&amp;" kroner arbeidsgiveravgift =  ("&amp;TEXT(E158,"# ##0")&amp;" lønn + "&amp;TEXT(E159,"# ##0")&amp;" feriepenger + "&amp;TEXT(E160,"# ##0")&amp;" pensjon)  x  "&amp;TEXT(E146,"#,0 %")&amp;" aga sats"</f>
        <v>➡️  kroner arbeidsgiveravgift =  ( lønn +  feriepenger +  pensjon)  x  ,0 % aga sats</v>
      </c>
      <c r="R161" s="146" t="s">
        <v>57</v>
      </c>
    </row>
    <row r="162" spans="1:18" ht="6" customHeight="1" x14ac:dyDescent="0.25">
      <c r="A162" s="8"/>
      <c r="B162" s="9"/>
      <c r="C162" s="1"/>
      <c r="D162" s="3"/>
      <c r="E162" s="4"/>
      <c r="F162" s="185"/>
      <c r="G162" s="60"/>
      <c r="H162" s="60"/>
      <c r="I162" s="1"/>
      <c r="J162" s="9"/>
      <c r="K162" s="8"/>
      <c r="N162" s="47"/>
    </row>
    <row r="163" spans="1:18" ht="18.75" customHeight="1" x14ac:dyDescent="0.3">
      <c r="A163" s="8"/>
      <c r="B163" s="10"/>
      <c r="C163" s="11"/>
      <c r="D163" s="12" t="s">
        <v>92</v>
      </c>
      <c r="E163" s="13" t="str">
        <f>IFERROR(E158+E159+E160+E161,"")</f>
        <v/>
      </c>
      <c r="F163" s="241" t="b">
        <v>1</v>
      </c>
      <c r="G163" s="182" t="s">
        <v>93</v>
      </c>
      <c r="I163" s="11"/>
      <c r="J163" s="10"/>
      <c r="K163" s="8"/>
      <c r="L163" s="5"/>
      <c r="N163" s="123" t="str">
        <f>N154</f>
        <v>skjul</v>
      </c>
      <c r="O163" s="124" t="str">
        <f>IF(AND(F163=TRUE,N163="vis"),Q163,"")</f>
        <v/>
      </c>
      <c r="P163" s="146" t="s">
        <v>57</v>
      </c>
      <c r="Q163" s="169"/>
      <c r="R163" s="146" t="s">
        <v>57</v>
      </c>
    </row>
    <row r="164" spans="1:18" s="11" customFormat="1" ht="19.5" customHeight="1" x14ac:dyDescent="0.25">
      <c r="A164" s="8"/>
      <c r="B164" s="10"/>
      <c r="C164" s="98"/>
      <c r="D164" s="137" t="s">
        <v>91</v>
      </c>
      <c r="E164" s="138" t="str">
        <f>IFERROR((E158+E159+E160+E161)/E140,"")</f>
        <v/>
      </c>
      <c r="F164" s="213"/>
      <c r="G164" s="186"/>
      <c r="H164" s="186"/>
      <c r="I164" s="98"/>
      <c r="J164" s="10"/>
      <c r="K164" s="8"/>
      <c r="L164" s="226"/>
      <c r="N164" s="123" t="str">
        <f>N154</f>
        <v>skjul</v>
      </c>
      <c r="O164" s="124" t="str">
        <f>IF(AND(F163=TRUE,N164="vis"),Q164,"")</f>
        <v/>
      </c>
      <c r="P164" s="146" t="s">
        <v>57</v>
      </c>
      <c r="Q164" s="169" t="str">
        <f>"➡️ "&amp;TEXT(E164,"# ##0")&amp;" kroner totale =  "&amp;TEXT(E158,"# ##0")&amp;" lønn + "&amp;TEXT(E159,"# ##0")&amp;" fp + "&amp;TEXT(E160,"# ##0")&amp;" pensjon + "&amp;TEXT(E161,"# ##0")&amp;" arbeidsgiveravgift"</f>
        <v>➡️  kroner totale =   lønn +  fp +  pensjon +  arbeidsgiveravgift</v>
      </c>
      <c r="R164" s="146" t="s">
        <v>57</v>
      </c>
    </row>
    <row r="165" spans="1:18" x14ac:dyDescent="0.25">
      <c r="A165" s="8"/>
      <c r="B165" s="9"/>
      <c r="E165" s="5"/>
      <c r="F165" s="117"/>
      <c r="J165" s="9"/>
      <c r="K165" s="8"/>
      <c r="L165" s="5"/>
    </row>
    <row r="166" spans="1:18" x14ac:dyDescent="0.25">
      <c r="A166" s="8"/>
      <c r="B166" s="9"/>
      <c r="E166" s="5"/>
      <c r="F166" s="117"/>
      <c r="J166" s="9"/>
      <c r="K166" s="8"/>
    </row>
    <row r="167" spans="1:18" x14ac:dyDescent="0.25">
      <c r="A167" s="8"/>
      <c r="B167" s="9"/>
      <c r="D167" s="3" t="s">
        <v>94</v>
      </c>
      <c r="E167" s="5"/>
      <c r="F167" s="117"/>
      <c r="J167" s="9"/>
      <c r="K167" s="8"/>
    </row>
    <row r="168" spans="1:18" x14ac:dyDescent="0.25">
      <c r="A168" s="8"/>
      <c r="B168" s="9"/>
      <c r="D168" s="258"/>
      <c r="E168" s="259"/>
      <c r="F168" s="259"/>
      <c r="G168" s="259"/>
      <c r="H168" s="260"/>
      <c r="J168" s="9"/>
      <c r="K168" s="8"/>
    </row>
    <row r="169" spans="1:18" x14ac:dyDescent="0.25">
      <c r="A169" s="8"/>
      <c r="B169" s="9"/>
      <c r="D169" s="252"/>
      <c r="E169" s="253"/>
      <c r="F169" s="253"/>
      <c r="G169" s="253"/>
      <c r="H169" s="254"/>
      <c r="J169" s="9"/>
      <c r="K169" s="8"/>
    </row>
    <row r="170" spans="1:18" x14ac:dyDescent="0.25">
      <c r="A170" s="8"/>
      <c r="B170" s="9"/>
      <c r="D170" s="252"/>
      <c r="E170" s="253"/>
      <c r="F170" s="253"/>
      <c r="G170" s="253"/>
      <c r="H170" s="254"/>
      <c r="J170" s="9"/>
      <c r="K170" s="8"/>
    </row>
    <row r="171" spans="1:18" x14ac:dyDescent="0.25">
      <c r="A171" s="8"/>
      <c r="B171" s="9"/>
      <c r="D171" s="252"/>
      <c r="E171" s="253"/>
      <c r="F171" s="253"/>
      <c r="G171" s="253"/>
      <c r="H171" s="254"/>
      <c r="J171" s="9"/>
      <c r="K171" s="8"/>
    </row>
    <row r="172" spans="1:18" x14ac:dyDescent="0.25">
      <c r="A172" s="8"/>
      <c r="B172" s="9"/>
      <c r="D172" s="252"/>
      <c r="E172" s="253"/>
      <c r="F172" s="253"/>
      <c r="G172" s="253"/>
      <c r="H172" s="254"/>
      <c r="J172" s="9"/>
      <c r="K172" s="8"/>
    </row>
    <row r="173" spans="1:18" x14ac:dyDescent="0.25">
      <c r="A173" s="8"/>
      <c r="B173" s="9"/>
      <c r="D173" s="255"/>
      <c r="E173" s="256"/>
      <c r="F173" s="256"/>
      <c r="G173" s="256"/>
      <c r="H173" s="257"/>
      <c r="J173" s="9"/>
      <c r="K173" s="8"/>
    </row>
    <row r="174" spans="1:18" x14ac:dyDescent="0.25">
      <c r="A174" s="8"/>
      <c r="B174" s="9"/>
      <c r="E174" s="5"/>
      <c r="F174" s="117"/>
      <c r="J174" s="9"/>
      <c r="K174" s="8"/>
    </row>
    <row r="175" spans="1:18" x14ac:dyDescent="0.25">
      <c r="A175" s="8"/>
      <c r="B175" s="9"/>
      <c r="C175" s="9"/>
      <c r="D175" s="9"/>
      <c r="E175" s="9"/>
      <c r="F175" s="92"/>
      <c r="G175" s="9"/>
      <c r="H175" s="9"/>
      <c r="I175" s="9"/>
      <c r="J175" s="9"/>
      <c r="K175" s="8"/>
    </row>
    <row r="176" spans="1:18" x14ac:dyDescent="0.25">
      <c r="A176" s="8"/>
      <c r="B176" s="9"/>
      <c r="C176" s="9"/>
      <c r="D176" s="9"/>
      <c r="E176" s="9"/>
      <c r="F176" s="92"/>
      <c r="G176" s="9"/>
      <c r="H176" s="9"/>
      <c r="I176" s="9"/>
      <c r="J176" s="9"/>
      <c r="K176" s="8"/>
    </row>
    <row r="177" spans="1:18" ht="6" customHeight="1" x14ac:dyDescent="0.25">
      <c r="A177" s="8"/>
      <c r="B177" s="8"/>
      <c r="C177" s="8"/>
      <c r="D177" s="8"/>
      <c r="E177" s="8"/>
      <c r="F177" s="91"/>
      <c r="G177" s="8"/>
      <c r="H177" s="8"/>
      <c r="I177" s="8"/>
      <c r="J177" s="8"/>
      <c r="K177" s="8"/>
    </row>
    <row r="178" spans="1:18" x14ac:dyDescent="0.25">
      <c r="A178" s="8"/>
      <c r="B178" s="9"/>
      <c r="C178" s="1"/>
      <c r="D178" s="1"/>
      <c r="E178" s="1"/>
      <c r="F178" s="95"/>
      <c r="G178" s="1"/>
      <c r="H178" s="1"/>
      <c r="I178" s="1"/>
      <c r="J178" s="9"/>
      <c r="K178" s="8"/>
      <c r="M178">
        <v>1</v>
      </c>
      <c r="N178" s="122" t="s">
        <v>73</v>
      </c>
      <c r="O178" s="122" t="s">
        <v>74</v>
      </c>
      <c r="P178" s="122" t="s">
        <v>75</v>
      </c>
      <c r="Q178" s="122" t="s">
        <v>76</v>
      </c>
      <c r="R178" s="122" t="s">
        <v>57</v>
      </c>
    </row>
    <row r="179" spans="1:18" ht="26.25" x14ac:dyDescent="0.4">
      <c r="A179" s="8"/>
      <c r="B179" s="9"/>
      <c r="C179" s="1"/>
      <c r="D179" s="227" t="s">
        <v>230</v>
      </c>
      <c r="E179" s="1"/>
      <c r="F179" s="95"/>
      <c r="G179" s="1"/>
      <c r="H179" s="1"/>
      <c r="I179" s="1"/>
      <c r="J179" s="9"/>
      <c r="K179" s="8"/>
      <c r="N179" s="122"/>
      <c r="O179" s="122"/>
      <c r="P179" s="122"/>
      <c r="Q179" s="122"/>
      <c r="R179" s="122"/>
    </row>
    <row r="180" spans="1:18" ht="15.75" thickBot="1" x14ac:dyDescent="0.3">
      <c r="A180" s="8"/>
      <c r="B180" s="9"/>
      <c r="C180" s="1"/>
      <c r="D180" s="3" t="s">
        <v>78</v>
      </c>
      <c r="E180" s="135"/>
      <c r="F180" s="90" t="str">
        <f>O180</f>
        <v xml:space="preserve">*obligatorisk </v>
      </c>
      <c r="G180" s="221"/>
      <c r="H180" s="221"/>
      <c r="I180" s="1"/>
      <c r="J180" s="9"/>
      <c r="K180" s="8"/>
      <c r="N180" s="154">
        <f>IF(E180="",1,0)</f>
        <v>1</v>
      </c>
      <c r="O180" s="124" t="str">
        <f>IF(N180=1,$P$6,"")</f>
        <v xml:space="preserve">*obligatorisk </v>
      </c>
      <c r="P180" s="146" t="s">
        <v>57</v>
      </c>
      <c r="Q180" s="146" t="s">
        <v>57</v>
      </c>
      <c r="R180" s="146" t="s">
        <v>57</v>
      </c>
    </row>
    <row r="181" spans="1:18" ht="16.5" thickTop="1" thickBot="1" x14ac:dyDescent="0.3">
      <c r="A181" s="8"/>
      <c r="B181" s="9"/>
      <c r="C181" s="1"/>
      <c r="D181" s="3" t="s">
        <v>79</v>
      </c>
      <c r="E181" s="135"/>
      <c r="F181" s="90" t="str">
        <f>O181</f>
        <v xml:space="preserve">*obligatorisk </v>
      </c>
      <c r="G181" s="221"/>
      <c r="H181" s="221"/>
      <c r="I181" s="1"/>
      <c r="J181" s="9"/>
      <c r="K181" s="8"/>
      <c r="N181" s="154">
        <f>IF(E181="",1,0)</f>
        <v>1</v>
      </c>
      <c r="O181" s="124" t="str">
        <f>IF(N181=1,$P$6,"")</f>
        <v xml:space="preserve">*obligatorisk </v>
      </c>
      <c r="P181" s="146" t="s">
        <v>57</v>
      </c>
      <c r="Q181" s="146" t="s">
        <v>57</v>
      </c>
      <c r="R181" s="146" t="s">
        <v>57</v>
      </c>
    </row>
    <row r="182" spans="1:18" ht="16.5" thickTop="1" thickBot="1" x14ac:dyDescent="0.3">
      <c r="A182" s="8"/>
      <c r="B182" s="9"/>
      <c r="C182" s="1"/>
      <c r="D182" s="3" t="s">
        <v>80</v>
      </c>
      <c r="E182" s="87"/>
      <c r="F182" s="90" t="str">
        <f t="shared" ref="F182" si="12">O182</f>
        <v xml:space="preserve">*obligatorisk </v>
      </c>
      <c r="G182" s="221"/>
      <c r="H182" s="221"/>
      <c r="I182" s="1"/>
      <c r="J182" s="9"/>
      <c r="K182" s="8"/>
      <c r="N182" s="154">
        <f>IFERROR(IF(E182="",1,IF(E182=Innstillinger!$B$8,1,IF(E182/1&lt;1,2,0))),3)</f>
        <v>1</v>
      </c>
      <c r="O182" s="124" t="str">
        <f>IF(N182=1,$P$6,"")</f>
        <v xml:space="preserve">*obligatorisk </v>
      </c>
      <c r="P182" s="146" t="s">
        <v>57</v>
      </c>
      <c r="Q182" s="146" t="s">
        <v>57</v>
      </c>
      <c r="R182" s="146" t="s">
        <v>57</v>
      </c>
    </row>
    <row r="183" spans="1:18" ht="15.75" thickTop="1" x14ac:dyDescent="0.25">
      <c r="A183" s="8"/>
      <c r="B183" s="9"/>
      <c r="C183" s="1"/>
      <c r="D183" s="3"/>
      <c r="E183" s="3"/>
      <c r="F183" s="261" t="str">
        <f>O185</f>
        <v xml:space="preserve">*obligatorisk </v>
      </c>
      <c r="G183" s="261"/>
      <c r="H183" s="261"/>
      <c r="I183" s="1"/>
      <c r="J183" s="9"/>
      <c r="K183" s="8"/>
      <c r="N183" s="154">
        <f>N185</f>
        <v>1</v>
      </c>
      <c r="O183" s="47"/>
      <c r="P183" s="136"/>
    </row>
    <row r="184" spans="1:18" x14ac:dyDescent="0.25">
      <c r="A184" s="8"/>
      <c r="B184" s="9"/>
      <c r="C184" s="1"/>
      <c r="D184" s="3"/>
      <c r="E184" s="3"/>
      <c r="F184" s="261"/>
      <c r="G184" s="261"/>
      <c r="H184" s="261"/>
      <c r="I184" s="1"/>
      <c r="J184" s="9"/>
      <c r="K184" s="8"/>
      <c r="N184" s="154"/>
      <c r="O184" s="47"/>
      <c r="P184" s="136"/>
    </row>
    <row r="185" spans="1:18" ht="15.75" thickBot="1" x14ac:dyDescent="0.3">
      <c r="A185" s="8"/>
      <c r="B185" s="9"/>
      <c r="C185" s="1"/>
      <c r="D185" s="3" t="s">
        <v>81</v>
      </c>
      <c r="E185" s="132"/>
      <c r="F185" s="261"/>
      <c r="G185" s="261"/>
      <c r="H185" s="261"/>
      <c r="I185" s="1"/>
      <c r="J185" s="9"/>
      <c r="K185" s="8"/>
      <c r="M185" s="155"/>
      <c r="N185" s="154">
        <f>IFERROR(IF(E185="",1,IF(E185=Innstillinger!$B$8,1,IF(E185/1&lt;0,2,0))),3)</f>
        <v>1</v>
      </c>
      <c r="O185" s="124" t="str">
        <f>IF(N185=1,$P$6,IF(E198="","",IF(E198&gt;$P$3,P185,"")))</f>
        <v xml:space="preserve">*obligatorisk </v>
      </c>
      <c r="P185" s="168" t="str">
        <f>"⚠️ Årslønnen dere oppgir, utgjør en høy timesats for en ansatt uten undervisningstid. Timesats over "&amp;$P$3&amp;" kroner, inkludert sosiale utgifter, må dokumenteres. Vi ber dere derfor legge ved underbilag som dokumenterer den ansattes årslønn."</f>
        <v>⚠️ Årslønnen dere oppgir, utgjør en høy timesats for en ansatt uten undervisningstid. Timesats over 650 kroner, inkludert sosiale utgifter, må dokumenteres. Vi ber dere derfor legge ved underbilag som dokumenterer den ansattes årslønn.</v>
      </c>
      <c r="Q185" s="146" t="s">
        <v>57</v>
      </c>
      <c r="R185" s="146" t="s">
        <v>57</v>
      </c>
    </row>
    <row r="186" spans="1:18" ht="16.5" thickTop="1" thickBot="1" x14ac:dyDescent="0.3">
      <c r="A186" s="8"/>
      <c r="B186" s="9"/>
      <c r="C186" s="1"/>
      <c r="D186" s="3" t="s">
        <v>82</v>
      </c>
      <c r="E186" s="16"/>
      <c r="F186" s="90" t="str">
        <f t="shared" ref="F186:F188" si="13">O186</f>
        <v xml:space="preserve">*obligatorisk </v>
      </c>
      <c r="G186" s="222"/>
      <c r="H186" s="222"/>
      <c r="I186" s="1"/>
      <c r="J186" s="9"/>
      <c r="K186" s="8"/>
      <c r="N186" s="154">
        <f>IFERROR(IF(E186="",1,IF(E186=Innstillinger!$B$8,1,IF(AND(E186&lt;&gt;12%,E186&lt;&gt;14.3%),2,0))),3)</f>
        <v>1</v>
      </c>
      <c r="O186" s="124" t="str">
        <f>IF(N186=1,$P$6,"")</f>
        <v xml:space="preserve">*obligatorisk </v>
      </c>
      <c r="P186" s="146" t="s">
        <v>57</v>
      </c>
      <c r="Q186" s="146" t="s">
        <v>57</v>
      </c>
      <c r="R186" s="146" t="s">
        <v>57</v>
      </c>
    </row>
    <row r="187" spans="1:18" ht="16.5" thickTop="1" thickBot="1" x14ac:dyDescent="0.3">
      <c r="A187" s="8"/>
      <c r="B187" s="9"/>
      <c r="C187" s="1"/>
      <c r="D187" s="3" t="s">
        <v>83</v>
      </c>
      <c r="E187" s="17"/>
      <c r="F187" s="153" t="str">
        <f t="shared" si="13"/>
        <v xml:space="preserve">*obligatorisk </v>
      </c>
      <c r="G187" s="221"/>
      <c r="H187" s="223"/>
      <c r="I187" s="1"/>
      <c r="J187" s="9"/>
      <c r="K187" s="8"/>
      <c r="N187" s="154">
        <f>IFERROR(IF(E187="",1,IF(E187=Innstillinger!$B$8,1,IF(E187/1&lt;2%,2,0))),3)</f>
        <v>1</v>
      </c>
      <c r="O187" s="124" t="str">
        <f>IF(N187=1,$P$6,IF(E187&gt;$P$4,P187,""))</f>
        <v xml:space="preserve">*obligatorisk </v>
      </c>
      <c r="P187" s="168" t="str">
        <f>"⚠️Dere oppgir en høy pensjonssats - over "&amp;TEXT($P$4,"#%")&amp;". Forklar hvorfor, og vis utregning i kommentarfeltet nederst. "</f>
        <v xml:space="preserve">⚠️Dere oppgir en høy pensjonssats - over 10%. Forklar hvorfor, og vis utregning i kommentarfeltet nederst. </v>
      </c>
      <c r="Q187" s="146" t="s">
        <v>57</v>
      </c>
      <c r="R187" s="146" t="s">
        <v>57</v>
      </c>
    </row>
    <row r="188" spans="1:18" ht="15.75" thickTop="1" x14ac:dyDescent="0.25">
      <c r="A188" s="8"/>
      <c r="B188" s="9"/>
      <c r="C188" s="1"/>
      <c r="D188" s="60" t="s">
        <v>84</v>
      </c>
      <c r="E188" s="17"/>
      <c r="F188" s="90" t="str">
        <f t="shared" si="13"/>
        <v xml:space="preserve">*obligatorisk </v>
      </c>
      <c r="G188" s="223"/>
      <c r="H188" s="49"/>
      <c r="I188" s="1"/>
      <c r="J188" s="9"/>
      <c r="K188" s="8"/>
      <c r="N188" s="154">
        <f>IFERROR(IF(E188="",1,IF(E188=Innstillinger!$B$8,1,IF(E188/1&lt;0,2,0))),3)</f>
        <v>1</v>
      </c>
      <c r="O188" s="124" t="str">
        <f>IF(N188=1,$P$6,"")</f>
        <v xml:space="preserve">*obligatorisk </v>
      </c>
      <c r="P188" s="146" t="s">
        <v>57</v>
      </c>
      <c r="Q188" s="146" t="s">
        <v>57</v>
      </c>
      <c r="R188" s="146" t="s">
        <v>57</v>
      </c>
    </row>
    <row r="189" spans="1:18" x14ac:dyDescent="0.25">
      <c r="A189" s="8"/>
      <c r="B189" s="9"/>
      <c r="C189" s="1"/>
      <c r="D189" s="69" t="s">
        <v>85</v>
      </c>
      <c r="E189" s="14"/>
      <c r="F189" s="224" t="str">
        <f>O189</f>
        <v/>
      </c>
      <c r="G189" s="225"/>
      <c r="H189" s="225"/>
      <c r="I189" s="1"/>
      <c r="J189" s="9"/>
      <c r="K189" s="8"/>
      <c r="O189" s="124" t="str">
        <f>IF(N189=1,$P$6,"")</f>
        <v/>
      </c>
      <c r="P189" s="146" t="s">
        <v>57</v>
      </c>
      <c r="Q189" s="146" t="s">
        <v>57</v>
      </c>
      <c r="R189" s="146" t="s">
        <v>57</v>
      </c>
    </row>
    <row r="190" spans="1:18" x14ac:dyDescent="0.25">
      <c r="A190" s="8"/>
      <c r="B190" s="9"/>
      <c r="C190" s="1"/>
      <c r="D190" s="66"/>
      <c r="E190" s="14"/>
      <c r="G190" s="221"/>
      <c r="H190" s="221"/>
      <c r="I190" s="1"/>
      <c r="J190" s="9"/>
      <c r="K190" s="8"/>
      <c r="N190" s="47"/>
      <c r="O190" s="47"/>
      <c r="P190" s="136"/>
    </row>
    <row r="191" spans="1:18" ht="15.75" thickBot="1" x14ac:dyDescent="0.3">
      <c r="A191" s="8"/>
      <c r="B191" s="9"/>
      <c r="C191" s="1"/>
      <c r="D191" s="3" t="s">
        <v>20</v>
      </c>
      <c r="E191" s="132"/>
      <c r="F191" s="90" t="str">
        <f t="shared" ref="F191:F193" si="14">O191</f>
        <v xml:space="preserve">*obligatorisk </v>
      </c>
      <c r="G191" s="225"/>
      <c r="H191" s="225"/>
      <c r="I191" s="1"/>
      <c r="J191" s="9"/>
      <c r="K191" s="8"/>
      <c r="M191" s="154">
        <f>IFERROR(VLOOKUP(E191,Innstillinger!$B$40:$C$44,2,FALSE),0)</f>
        <v>0</v>
      </c>
      <c r="N191" s="154">
        <f>IFERROR(IF(E191="",1,IF(E191=Innstillinger!$B$8,1,IF(M191/1&lt;=1,2,0))),3)</f>
        <v>1</v>
      </c>
      <c r="O191" s="124" t="str">
        <f>IF(N191=1,$P$6,"")</f>
        <v xml:space="preserve">*obligatorisk </v>
      </c>
      <c r="P191" s="146" t="s">
        <v>57</v>
      </c>
      <c r="Q191" s="146" t="s">
        <v>57</v>
      </c>
      <c r="R191" s="146" t="s">
        <v>57</v>
      </c>
    </row>
    <row r="192" spans="1:18" ht="16.5" thickTop="1" thickBot="1" x14ac:dyDescent="0.3">
      <c r="A192" s="8"/>
      <c r="B192" s="9"/>
      <c r="C192" s="1"/>
      <c r="D192" s="3" t="s">
        <v>224</v>
      </c>
      <c r="E192" s="118"/>
      <c r="F192" s="90" t="str">
        <f t="shared" si="14"/>
        <v xml:space="preserve">*obligatorisk </v>
      </c>
      <c r="G192" s="221"/>
      <c r="H192" s="221"/>
      <c r="I192" s="1"/>
      <c r="J192" s="9"/>
      <c r="K192" s="8"/>
      <c r="N192" s="154">
        <f>IFERROR(IF(E192="",1,IF(E192=Innstillinger!$B$8,1,IF(E192/1&gt;M191,2,0))),3)</f>
        <v>1</v>
      </c>
      <c r="O192" s="124" t="str">
        <f>IF(N192=1,$P$6,"")</f>
        <v xml:space="preserve">*obligatorisk </v>
      </c>
      <c r="P192" s="146" t="s">
        <v>57</v>
      </c>
      <c r="Q192" s="146" t="s">
        <v>57</v>
      </c>
      <c r="R192" s="146" t="s">
        <v>57</v>
      </c>
    </row>
    <row r="193" spans="1:18" ht="15.75" thickTop="1" x14ac:dyDescent="0.25">
      <c r="A193" s="8"/>
      <c r="B193" s="9"/>
      <c r="C193" s="1"/>
      <c r="D193" s="3" t="s">
        <v>28</v>
      </c>
      <c r="E193" s="161"/>
      <c r="F193" s="90" t="str">
        <f t="shared" si="14"/>
        <v xml:space="preserve">*obligatorisk </v>
      </c>
      <c r="G193" s="221"/>
      <c r="H193" s="221"/>
      <c r="I193" s="1"/>
      <c r="J193" s="9"/>
      <c r="K193" s="8"/>
      <c r="M193" s="154">
        <f>IF(E186=14.3%,46,47)</f>
        <v>47</v>
      </c>
      <c r="N193" s="154">
        <f>IFERROR(IF(E193="",1,IF(E193=Innstillinger!$B$8,1,IF(E193/1&gt;M193,2,0))),3)</f>
        <v>1</v>
      </c>
      <c r="O193" s="124" t="str">
        <f>IF(N193=1,$P$6,"")</f>
        <v xml:space="preserve">*obligatorisk </v>
      </c>
      <c r="P193" s="146" t="s">
        <v>57</v>
      </c>
      <c r="Q193" s="146" t="s">
        <v>57</v>
      </c>
      <c r="R193" s="146" t="s">
        <v>57</v>
      </c>
    </row>
    <row r="194" spans="1:18" x14ac:dyDescent="0.25">
      <c r="A194" s="8"/>
      <c r="B194" s="9"/>
      <c r="C194" s="1"/>
      <c r="D194" s="3"/>
      <c r="E194" s="14"/>
      <c r="I194" s="1"/>
      <c r="J194" s="9"/>
      <c r="K194" s="8"/>
      <c r="O194" s="145"/>
      <c r="P194" s="145"/>
    </row>
    <row r="195" spans="1:18" x14ac:dyDescent="0.25">
      <c r="A195" s="8"/>
      <c r="B195" s="9"/>
      <c r="C195" s="1"/>
      <c r="D195" s="3"/>
      <c r="E195" s="148"/>
      <c r="F195" s="153" t="str">
        <f>IF(O199="","",P185)</f>
        <v/>
      </c>
      <c r="I195" s="1"/>
      <c r="J195" s="9"/>
      <c r="K195" s="8"/>
      <c r="N195" s="122" t="s">
        <v>87</v>
      </c>
      <c r="O195" s="122" t="s">
        <v>74</v>
      </c>
      <c r="P195" s="122" t="s">
        <v>75</v>
      </c>
      <c r="Q195" s="122" t="s">
        <v>76</v>
      </c>
      <c r="R195" s="122"/>
    </row>
    <row r="196" spans="1:18" ht="15.75" thickBot="1" x14ac:dyDescent="0.3">
      <c r="A196" s="8"/>
      <c r="B196" s="9"/>
      <c r="C196" s="1"/>
      <c r="D196" s="3" t="s">
        <v>36</v>
      </c>
      <c r="E196" s="116" t="str">
        <f>IF(N196="skjul","",E192/VLOOKUP(E191,Innstillinger!$B$40:$C$44,2,FALSE))</f>
        <v/>
      </c>
      <c r="F196" s="213" t="str">
        <f>O196</f>
        <v/>
      </c>
      <c r="G196" s="60"/>
      <c r="H196" s="60"/>
      <c r="I196" s="1"/>
      <c r="J196" s="9"/>
      <c r="K196" s="8"/>
      <c r="N196" s="123" t="str">
        <f>IF(N180+N181+N182+N185+N191+N186+N187+N188+N192+N193=0,"vis","skjul")</f>
        <v>skjul</v>
      </c>
      <c r="O196" s="124" t="str">
        <f>IF(AND(F205=TRUE,N196="vis"),Q196,"")</f>
        <v/>
      </c>
      <c r="P196" s="146" t="s">
        <v>57</v>
      </c>
      <c r="Q196" s="169" t="str">
        <f>"➡️ "&amp;TEXT(E196,"#%")&amp;" stilling  =  "&amp;E192&amp;" faktiske arbeidstimer/uke   ÷   "&amp;M191&amp;"  alminnelig arbeidstid/uke"</f>
        <v>➡️  stilling  =   faktiske arbeidstimer/uke   ÷   0  alminnelig arbeidstid/uke</v>
      </c>
      <c r="R196" s="146" t="s">
        <v>57</v>
      </c>
    </row>
    <row r="197" spans="1:18" ht="16.5" thickTop="1" thickBot="1" x14ac:dyDescent="0.3">
      <c r="A197" s="8"/>
      <c r="B197" s="9"/>
      <c r="C197" s="1"/>
      <c r="D197" s="3" t="s">
        <v>41</v>
      </c>
      <c r="E197" s="133" t="str">
        <f>IF(N197="skjul","",E185/VLOOKUP(E191,Innstillinger!$B$41:$C$44,2,FALSE)/52)</f>
        <v/>
      </c>
      <c r="F197" s="213" t="str">
        <f>O197</f>
        <v/>
      </c>
      <c r="G197" s="184"/>
      <c r="H197" s="184"/>
      <c r="I197" s="1"/>
      <c r="J197" s="9"/>
      <c r="K197" s="8"/>
      <c r="N197" s="123" t="str">
        <f>N196</f>
        <v>skjul</v>
      </c>
      <c r="O197" s="124" t="str">
        <f>IF(AND(F205=TRUE,N197="vis"),Q197,"")</f>
        <v/>
      </c>
      <c r="P197" s="146" t="s">
        <v>57</v>
      </c>
      <c r="Q197" s="169" t="str">
        <f>"➡️ "&amp;TEXT(E197,"# ##0,##")&amp;" kroner per time  =  "&amp;TEXT(E185,"# ##0,##")&amp;" årslønn  ÷  "&amp;E191&amp;"  ÷  52 uker"</f>
        <v>➡️  kroner per time  =  0, årslønn  ÷    ÷  52 uker</v>
      </c>
      <c r="R197" s="146" t="s">
        <v>57</v>
      </c>
    </row>
    <row r="198" spans="1:18" ht="16.5" thickTop="1" thickBot="1" x14ac:dyDescent="0.3">
      <c r="A198" s="8"/>
      <c r="B198" s="9"/>
      <c r="C198" s="1"/>
      <c r="D198" s="3" t="s">
        <v>88</v>
      </c>
      <c r="E198" s="115" t="str">
        <f>IF(N198="skjul","",(E197*(1+E186+E187+(E186*E187))*(1+E188)))</f>
        <v/>
      </c>
      <c r="F198" s="213" t="str">
        <f>O198</f>
        <v/>
      </c>
      <c r="G198" s="60"/>
      <c r="H198" s="60"/>
      <c r="I198" s="1"/>
      <c r="J198" s="9"/>
      <c r="K198" s="8"/>
      <c r="N198" s="123" t="str">
        <f>N196</f>
        <v>skjul</v>
      </c>
      <c r="O198" s="124" t="str">
        <f>IF(AND(F205=TRUE,N198="vis"),Q198,"")</f>
        <v/>
      </c>
      <c r="P198" s="146" t="s">
        <v>57</v>
      </c>
      <c r="Q198" s="169" t="str">
        <f>"➡️ "&amp;TEXT(E198,"# ##0,##")&amp;" kroner per time  =  "&amp;TEXT(E197,"# ##0,##")&amp;" timelønn  x  sosiale utgifter"</f>
        <v>➡️  kroner per time  =   timelønn  x  sosiale utgifter</v>
      </c>
      <c r="R198" s="146" t="s">
        <v>57</v>
      </c>
    </row>
    <row r="199" spans="1:18" ht="15.75" thickTop="1" x14ac:dyDescent="0.25">
      <c r="A199" s="8"/>
      <c r="B199" s="9"/>
      <c r="C199" s="1"/>
      <c r="D199" s="3"/>
      <c r="G199" s="60"/>
      <c r="H199" s="60"/>
      <c r="I199" s="1"/>
      <c r="J199" s="9"/>
      <c r="K199" s="8"/>
      <c r="R199" s="146" t="s">
        <v>57</v>
      </c>
    </row>
    <row r="200" spans="1:18" ht="15.75" thickBot="1" x14ac:dyDescent="0.3">
      <c r="A200" s="8"/>
      <c r="B200" s="9"/>
      <c r="C200" s="1"/>
      <c r="D200" s="3" t="s">
        <v>89</v>
      </c>
      <c r="E200" s="35" t="str">
        <f>IF(N200="skjul","",E197*E193*E192)</f>
        <v/>
      </c>
      <c r="F200" s="213" t="str">
        <f>O200</f>
        <v/>
      </c>
      <c r="G200" s="60"/>
      <c r="H200" s="60"/>
      <c r="I200" s="1"/>
      <c r="J200" s="9"/>
      <c r="K200" s="8"/>
      <c r="L200" s="144"/>
      <c r="N200" s="123" t="str">
        <f>N196</f>
        <v>skjul</v>
      </c>
      <c r="O200" s="124" t="str">
        <f>IF(AND(F205=TRUE,N200="vis"),Q200,"")</f>
        <v/>
      </c>
      <c r="P200" s="146" t="s">
        <v>57</v>
      </c>
      <c r="Q200" s="169" t="str">
        <f>"➡️ "&amp;TEXT(E200,"# ##0")&amp;" kroner lønn uten feriepenger  =  "&amp;TEXT(E197,"#,##")&amp;" timelønn  x  "&amp;E192&amp;" timer per uke   x   "&amp;E193&amp;" uker"</f>
        <v>➡️  kroner lønn uten feriepenger  =   timelønn  x   timer per uke   x    uker</v>
      </c>
      <c r="R200" s="146" t="s">
        <v>57</v>
      </c>
    </row>
    <row r="201" spans="1:18" ht="16.5" thickTop="1" thickBot="1" x14ac:dyDescent="0.3">
      <c r="A201" s="8"/>
      <c r="B201" s="9"/>
      <c r="C201" s="1"/>
      <c r="D201" s="3" t="s">
        <v>30</v>
      </c>
      <c r="E201" s="36" t="str">
        <f>IF(N200="skjul","",(E200)*E186)</f>
        <v/>
      </c>
      <c r="F201" s="213" t="str">
        <f>O201</f>
        <v/>
      </c>
      <c r="G201" s="60"/>
      <c r="H201" s="60"/>
      <c r="I201" s="1"/>
      <c r="J201" s="9"/>
      <c r="K201" s="8"/>
      <c r="L201" s="144"/>
      <c r="N201" s="123" t="str">
        <f>N196</f>
        <v>skjul</v>
      </c>
      <c r="O201" s="124" t="str">
        <f>IF(AND(F205=TRUE,N201="vis"),Q201,"")</f>
        <v/>
      </c>
      <c r="P201" s="146" t="s">
        <v>57</v>
      </c>
      <c r="Q201" s="169" t="str">
        <f>"➡️ "&amp;TEXT(E201,"# ##0")&amp;" kroner lønn uten feriepenger  =  "&amp;TEXT(E200,"# ##0")&amp;" lønn  x  "&amp;TEXT(E186,"#,0 %")&amp;" feriepenger sats"</f>
        <v>➡️  kroner lønn uten feriepenger  =   lønn  x  ,0 % feriepenger sats</v>
      </c>
      <c r="R201" s="146" t="s">
        <v>57</v>
      </c>
    </row>
    <row r="202" spans="1:18" ht="16.5" thickTop="1" thickBot="1" x14ac:dyDescent="0.3">
      <c r="A202" s="8"/>
      <c r="B202" s="9"/>
      <c r="C202" s="1"/>
      <c r="D202" s="3" t="s">
        <v>90</v>
      </c>
      <c r="E202" s="36" t="str">
        <f>IF(N200="skjul","",(E200+E201)*E187)</f>
        <v/>
      </c>
      <c r="F202" s="213" t="str">
        <f>O202</f>
        <v/>
      </c>
      <c r="G202" s="60"/>
      <c r="H202" s="60"/>
      <c r="I202" s="1"/>
      <c r="J202" s="9"/>
      <c r="K202" s="8"/>
      <c r="L202" s="144"/>
      <c r="M202" s="144"/>
      <c r="N202" s="123" t="str">
        <f>N196</f>
        <v>skjul</v>
      </c>
      <c r="O202" s="124" t="str">
        <f>IF(AND(F205=TRUE,N202="vis"),Q202,"")</f>
        <v/>
      </c>
      <c r="P202" s="146" t="s">
        <v>57</v>
      </c>
      <c r="Q202" s="169" t="str">
        <f>"➡️ "&amp;TEXT(E202,"# ##0")&amp;" kroner pensjon  =  ("&amp;TEXT(E200,"# ##0")&amp;" lønn + "&amp;TEXT(E201,"# ##0")&amp;" feriepenger)  x  "&amp;TEXT(E187,"#,0 %")&amp;" pensjon sats"</f>
        <v>➡️  kroner pensjon  =  ( lønn +  feriepenger)  x  ,0 % pensjon sats</v>
      </c>
      <c r="R202" s="146" t="s">
        <v>57</v>
      </c>
    </row>
    <row r="203" spans="1:18" ht="16.5" customHeight="1" thickTop="1" x14ac:dyDescent="0.25">
      <c r="A203" s="8"/>
      <c r="B203" s="9"/>
      <c r="C203" s="1"/>
      <c r="D203" s="3" t="s">
        <v>22</v>
      </c>
      <c r="E203" s="37" t="str">
        <f>IF(N200="skjul","",(E200+E201+E202)*E188)</f>
        <v/>
      </c>
      <c r="F203" s="213" t="str">
        <f>O203</f>
        <v/>
      </c>
      <c r="G203" s="60"/>
      <c r="H203" s="60"/>
      <c r="I203" s="1"/>
      <c r="J203" s="9"/>
      <c r="K203" s="8"/>
      <c r="L203" s="144"/>
      <c r="N203" s="123" t="str">
        <f>N196</f>
        <v>skjul</v>
      </c>
      <c r="O203" s="124" t="str">
        <f>IF(AND(F205=TRUE,N203="vis"),Q203,"")</f>
        <v/>
      </c>
      <c r="P203" s="146" t="s">
        <v>57</v>
      </c>
      <c r="Q203" s="169" t="str">
        <f>"➡️ "&amp;TEXT(E203,"# ##0")&amp;" kroner arbeidsgiveravgift =  ("&amp;TEXT(E200,"# ##0")&amp;" lønn + "&amp;TEXT(E201,"# ##0")&amp;" feriepenger + "&amp;TEXT(E202,"# ##0")&amp;" pensjon)  x  "&amp;TEXT(E188,"#,0 %")&amp;" aga sats"</f>
        <v>➡️  kroner arbeidsgiveravgift =  ( lønn +  feriepenger +  pensjon)  x  ,0 % aga sats</v>
      </c>
      <c r="R203" s="146" t="s">
        <v>57</v>
      </c>
    </row>
    <row r="204" spans="1:18" ht="6" customHeight="1" x14ac:dyDescent="0.25">
      <c r="A204" s="8"/>
      <c r="B204" s="9"/>
      <c r="C204" s="1"/>
      <c r="D204" s="3"/>
      <c r="E204" s="4"/>
      <c r="F204" s="185"/>
      <c r="G204" s="60"/>
      <c r="H204" s="60"/>
      <c r="I204" s="1"/>
      <c r="J204" s="9"/>
      <c r="K204" s="8"/>
      <c r="N204" s="47"/>
    </row>
    <row r="205" spans="1:18" ht="18.75" customHeight="1" x14ac:dyDescent="0.3">
      <c r="A205" s="8"/>
      <c r="B205" s="10"/>
      <c r="C205" s="11"/>
      <c r="D205" s="12" t="s">
        <v>92</v>
      </c>
      <c r="E205" s="13" t="str">
        <f>IFERROR(E200+E201+E202+E203,"")</f>
        <v/>
      </c>
      <c r="F205" s="241" t="b">
        <v>0</v>
      </c>
      <c r="G205" s="182" t="s">
        <v>93</v>
      </c>
      <c r="I205" s="11"/>
      <c r="J205" s="10"/>
      <c r="K205" s="8"/>
      <c r="L205" s="5"/>
      <c r="N205" s="123" t="str">
        <f>N196</f>
        <v>skjul</v>
      </c>
      <c r="O205" s="124" t="str">
        <f>IF(AND(F205=TRUE,N205="vis"),Q205,"")</f>
        <v/>
      </c>
      <c r="P205" s="146" t="s">
        <v>57</v>
      </c>
      <c r="Q205" s="169"/>
      <c r="R205" s="146" t="s">
        <v>57</v>
      </c>
    </row>
    <row r="206" spans="1:18" s="11" customFormat="1" ht="19.5" customHeight="1" x14ac:dyDescent="0.25">
      <c r="A206" s="8"/>
      <c r="B206" s="10"/>
      <c r="C206" s="98"/>
      <c r="D206" s="137" t="s">
        <v>91</v>
      </c>
      <c r="E206" s="138" t="str">
        <f>IFERROR((E200+E201+E202+E203)/E182,"")</f>
        <v/>
      </c>
      <c r="F206" s="213"/>
      <c r="G206" s="186"/>
      <c r="H206" s="186"/>
      <c r="I206" s="98"/>
      <c r="J206" s="10"/>
      <c r="K206" s="8"/>
      <c r="L206" s="226"/>
      <c r="N206" s="123" t="str">
        <f>N196</f>
        <v>skjul</v>
      </c>
      <c r="O206" s="124" t="str">
        <f>IF(AND(F205=TRUE,N206="vis"),Q206,"")</f>
        <v/>
      </c>
      <c r="P206" s="146" t="s">
        <v>57</v>
      </c>
      <c r="Q206" s="169" t="str">
        <f>"➡️ "&amp;TEXT(E206,"# ##0")&amp;" kroner totale =  "&amp;TEXT(E200,"# ##0")&amp;" lønn + "&amp;TEXT(E201,"# ##0")&amp;" fp + "&amp;TEXT(E202,"# ##0")&amp;" pensjon + "&amp;TEXT(E203,"# ##0")&amp;" arbeidsgiveravgift"</f>
        <v>➡️  kroner totale =   lønn +  fp +  pensjon +  arbeidsgiveravgift</v>
      </c>
      <c r="R206" s="146" t="s">
        <v>57</v>
      </c>
    </row>
    <row r="207" spans="1:18" x14ac:dyDescent="0.25">
      <c r="A207" s="8"/>
      <c r="B207" s="9"/>
      <c r="E207" s="5"/>
      <c r="F207" s="117"/>
      <c r="J207" s="9"/>
      <c r="K207" s="8"/>
      <c r="L207" s="5"/>
    </row>
    <row r="208" spans="1:18" x14ac:dyDescent="0.25">
      <c r="A208" s="8"/>
      <c r="B208" s="9"/>
      <c r="E208" s="5"/>
      <c r="F208" s="117"/>
      <c r="J208" s="9"/>
      <c r="K208" s="8"/>
    </row>
    <row r="209" spans="1:11" x14ac:dyDescent="0.25">
      <c r="A209" s="8"/>
      <c r="B209" s="9"/>
      <c r="D209" s="3" t="s">
        <v>94</v>
      </c>
      <c r="E209" s="5"/>
      <c r="F209" s="117"/>
      <c r="J209" s="9"/>
      <c r="K209" s="8"/>
    </row>
    <row r="210" spans="1:11" x14ac:dyDescent="0.25">
      <c r="A210" s="8"/>
      <c r="B210" s="9"/>
      <c r="D210" s="258"/>
      <c r="E210" s="259"/>
      <c r="F210" s="259"/>
      <c r="G210" s="259"/>
      <c r="H210" s="260"/>
      <c r="J210" s="9"/>
      <c r="K210" s="8"/>
    </row>
    <row r="211" spans="1:11" x14ac:dyDescent="0.25">
      <c r="A211" s="8"/>
      <c r="B211" s="9"/>
      <c r="D211" s="252"/>
      <c r="E211" s="253"/>
      <c r="F211" s="253"/>
      <c r="G211" s="253"/>
      <c r="H211" s="254"/>
      <c r="J211" s="9"/>
      <c r="K211" s="8"/>
    </row>
    <row r="212" spans="1:11" x14ac:dyDescent="0.25">
      <c r="A212" s="8"/>
      <c r="B212" s="9"/>
      <c r="D212" s="252"/>
      <c r="E212" s="253"/>
      <c r="F212" s="253"/>
      <c r="G212" s="253"/>
      <c r="H212" s="254"/>
      <c r="J212" s="9"/>
      <c r="K212" s="8"/>
    </row>
    <row r="213" spans="1:11" x14ac:dyDescent="0.25">
      <c r="A213" s="8"/>
      <c r="B213" s="9"/>
      <c r="D213" s="252"/>
      <c r="E213" s="253"/>
      <c r="F213" s="253"/>
      <c r="G213" s="253"/>
      <c r="H213" s="254"/>
      <c r="J213" s="9"/>
      <c r="K213" s="8"/>
    </row>
    <row r="214" spans="1:11" x14ac:dyDescent="0.25">
      <c r="A214" s="8"/>
      <c r="B214" s="9"/>
      <c r="D214" s="252"/>
      <c r="E214" s="253"/>
      <c r="F214" s="253"/>
      <c r="G214" s="253"/>
      <c r="H214" s="254"/>
      <c r="J214" s="9"/>
      <c r="K214" s="8"/>
    </row>
    <row r="215" spans="1:11" x14ac:dyDescent="0.25">
      <c r="A215" s="8"/>
      <c r="B215" s="9"/>
      <c r="D215" s="255"/>
      <c r="E215" s="256"/>
      <c r="F215" s="256"/>
      <c r="G215" s="256"/>
      <c r="H215" s="257"/>
      <c r="J215" s="9"/>
      <c r="K215" s="8"/>
    </row>
    <row r="216" spans="1:11" x14ac:dyDescent="0.25">
      <c r="A216" s="8"/>
      <c r="B216" s="9"/>
      <c r="E216" s="5"/>
      <c r="F216" s="117"/>
      <c r="J216" s="9"/>
      <c r="K216" s="8"/>
    </row>
    <row r="217" spans="1:11" x14ac:dyDescent="0.25">
      <c r="A217" s="8"/>
      <c r="B217" s="9"/>
      <c r="C217" s="9"/>
      <c r="D217" s="9"/>
      <c r="E217" s="9"/>
      <c r="F217" s="92"/>
      <c r="G217" s="9"/>
      <c r="H217" s="9"/>
      <c r="I217" s="9"/>
      <c r="J217" s="9"/>
      <c r="K217" s="8"/>
    </row>
    <row r="218" spans="1:11" x14ac:dyDescent="0.25">
      <c r="A218" s="8"/>
      <c r="B218" s="9"/>
      <c r="C218" s="9"/>
      <c r="D218" s="9"/>
      <c r="E218" s="9"/>
      <c r="F218" s="92"/>
      <c r="G218" s="9"/>
      <c r="H218" s="9"/>
      <c r="I218" s="9"/>
      <c r="J218" s="9"/>
      <c r="K218" s="8"/>
    </row>
    <row r="219" spans="1:11" ht="6" customHeight="1" x14ac:dyDescent="0.25">
      <c r="A219" s="8"/>
      <c r="B219" s="8"/>
      <c r="C219" s="8"/>
      <c r="D219" s="8"/>
      <c r="E219" s="8"/>
      <c r="F219" s="91"/>
      <c r="G219" s="8"/>
      <c r="H219" s="8"/>
      <c r="I219" s="8"/>
      <c r="J219" s="8"/>
      <c r="K219" s="8"/>
    </row>
  </sheetData>
  <sheetProtection sheet="1" objects="1" scenarios="1"/>
  <mergeCells count="24">
    <mergeCell ref="D42:H43"/>
    <mergeCell ref="F15:H17"/>
    <mergeCell ref="D5:E5"/>
    <mergeCell ref="D6:E6"/>
    <mergeCell ref="G6:H6"/>
    <mergeCell ref="G7:H7"/>
    <mergeCell ref="D44:H45"/>
    <mergeCell ref="D46:H47"/>
    <mergeCell ref="D88:H89"/>
    <mergeCell ref="D86:H87"/>
    <mergeCell ref="D84:H85"/>
    <mergeCell ref="F57:H59"/>
    <mergeCell ref="F99:H101"/>
    <mergeCell ref="D126:H127"/>
    <mergeCell ref="D128:H129"/>
    <mergeCell ref="D130:H131"/>
    <mergeCell ref="F141:H143"/>
    <mergeCell ref="D212:H213"/>
    <mergeCell ref="D214:H215"/>
    <mergeCell ref="D168:H169"/>
    <mergeCell ref="D170:H171"/>
    <mergeCell ref="D172:H173"/>
    <mergeCell ref="F183:H185"/>
    <mergeCell ref="D210:H211"/>
  </mergeCells>
  <conditionalFormatting sqref="E27:E28">
    <cfRule type="expression" dxfId="36" priority="108">
      <formula>OR(E27=$P$6,E27=#REF!,E27=$P$7,E27=$P$7&amp;$Q$7)</formula>
    </cfRule>
  </conditionalFormatting>
  <conditionalFormatting sqref="E69:E70">
    <cfRule type="expression" dxfId="35" priority="8">
      <formula>OR(E69=$P$6,E69=#REF!,E69=$P$7,E69=$P$7&amp;$Q$7)</formula>
    </cfRule>
  </conditionalFormatting>
  <conditionalFormatting sqref="E111:E112">
    <cfRule type="expression" dxfId="34" priority="6">
      <formula>OR(E111=$P$6,E111=#REF!,E111=$P$7,E111=$P$7&amp;$Q$7)</formula>
    </cfRule>
  </conditionalFormatting>
  <conditionalFormatting sqref="E153:E154">
    <cfRule type="expression" dxfId="33" priority="4">
      <formula>OR(E153=$P$6,E153=#REF!,E153=$P$7,E153=$P$7&amp;$Q$7)</formula>
    </cfRule>
  </conditionalFormatting>
  <conditionalFormatting sqref="E195:E196">
    <cfRule type="expression" dxfId="32" priority="2">
      <formula>OR(E195=$P$6,E195=#REF!,E195=$P$7,E195=$P$7&amp;$Q$7)</formula>
    </cfRule>
  </conditionalFormatting>
  <conditionalFormatting sqref="F12:H25">
    <cfRule type="expression" dxfId="31" priority="69">
      <formula>N12&gt;0</formula>
    </cfRule>
  </conditionalFormatting>
  <conditionalFormatting sqref="F54:H67">
    <cfRule type="expression" dxfId="30" priority="7">
      <formula>N54&gt;0</formula>
    </cfRule>
  </conditionalFormatting>
  <conditionalFormatting sqref="F96:H109">
    <cfRule type="expression" dxfId="29" priority="5">
      <formula>N96&gt;0</formula>
    </cfRule>
  </conditionalFormatting>
  <conditionalFormatting sqref="F138:H151">
    <cfRule type="expression" dxfId="28" priority="3">
      <formula>N138&gt;0</formula>
    </cfRule>
  </conditionalFormatting>
  <conditionalFormatting sqref="F180:H193">
    <cfRule type="expression" dxfId="27" priority="1">
      <formula>N180&gt;0</formula>
    </cfRule>
  </conditionalFormatting>
  <dataValidations xWindow="462" yWindow="616" count="10">
    <dataValidation allowBlank="1" showInputMessage="1" showErrorMessage="1" prompt="Dette er beregnet som_x000a__x000a_Årslønn x stillingsprosent x arbeidsuker i tilskuddsperioden / 52 uker, evt._x000a__x000a_Timelønn (før sos. utg) x arbeidstimer per uke x arbeidsuker i tilskuddperioden" sqref="E32 E158 E74 E116 E200" xr:uid="{66475D27-C1FD-47FE-8842-503CDD6F48BE}"/>
    <dataValidation allowBlank="1" showInputMessage="1" showErrorMessage="1" errorTitle="Ugyldig verdi" error="Arbeidsgivers andel av pensjon må være minst 2% (obligatorisk tjenestepensjon)." sqref="F19 F145 F61 F103 F187" xr:uid="{6911D406-0920-44E4-9927-DEF156CD59B2}"/>
    <dataValidation allowBlank="1" showInputMessage="1" showErrorMessage="1" promptTitle="Vis denne teksten hvis:" prompt="_x000a_sats pensjon er over 10%." sqref="P19 P145 P61 P103 P187" xr:uid="{BF85A7ED-AF16-42FB-984C-BF7D02468C29}"/>
    <dataValidation type="whole" operator="greaterThanOrEqual" allowBlank="1" showInputMessage="1" showErrorMessage="1" errorTitle="Ugyldig verdi" error="Antall ansatte må kun være tall og minst 1. " promptTitle="Antall ansatte" prompt="Oppgi hvor mange ansatte denne beregningen gjelder for." sqref="E14 E140 E56 E98 E182" xr:uid="{33387346-C1CA-49CD-AE44-ACC271590659}">
      <formula1>1</formula1>
    </dataValidation>
    <dataValidation type="decimal" allowBlank="1" showInputMessage="1" showErrorMessage="1" errorTitle="Ugyldig verdi" error="Arbeidstimer per uke skal ikke overstige alminnelig arbeidstid." promptTitle="Arbeidstimer per uke" prompt="Oppgi antall timer per uke den ansatte har direkte oppfølging med flyktningen. _x000a__x000a_Gjelder beregningen flere ansatte; skriv totalt antall timer for alle ansatte." sqref="E24 E150 E66 E108 E192" xr:uid="{F2720BCB-AD5F-4615-8FBA-1604757749F2}">
      <formula1>0</formula1>
      <formula2>M23</formula2>
    </dataValidation>
    <dataValidation type="decimal" errorStyle="information" operator="lessThanOrEqual" allowBlank="1" showInputMessage="1" error="Du oppgir en høy pensjonssats - over 10%. Forklar hvorfor, og vis utregning i kommentarfeltet nederst. " promptTitle="Arbeidsgiversandel av pensjon" prompt="Oppgi arbeidsgivers andel av pensjon._x000a__x000a_Viktig; fjern dette fra satsen: reguleringspremie, premiefond, utjevning, selvrisiko eller egenbetaling pensjon." sqref="E19 E145 E61 E103 E187" xr:uid="{AE738B93-B507-4415-80A0-D90F91708223}">
      <formula1>$P$4</formula1>
    </dataValidation>
    <dataValidation type="whole" operator="greaterThanOrEqual" allowBlank="1" showInputMessage="1" promptTitle="Årslønn" prompt="Skriv den ansattes årslønn (grunnlønn). Gjelder beregningen flere ansatte, oppgir dere gjennomsnittet av årslønnene. _x000a__x000a_Selv om den ansatte jobber deltid, skal dere oppgi årslønn for full stilling._x000a_" sqref="E17 E143 E59 E101 E185" xr:uid="{25DACBD5-3AE6-4CF7-AB7A-B4138DD504D4}">
      <formula1>0</formula1>
    </dataValidation>
    <dataValidation allowBlank="1" showInputMessage="1" showErrorMessage="1" promptTitle="Stillingstittel" prompt="Oppgi stillingstittelen, som «miljøarbeider»." sqref="E13 E139 E55 E97 E181" xr:uid="{EC2003E6-7533-405B-9E3B-2A80E04912BE}"/>
    <dataValidation type="decimal" operator="lessThanOrEqual" allowBlank="1" showInputMessage="1" showErrorMessage="1" errorTitle="Ugyldig verdi" error="Arbeidsuker i tilskuddperioden skal ikke overstige 47 uker (eller 46 for ansatte over 60 år)._x000a__x000a_Bruk nytt skjema dersom dere vil søke refusjon for lønn til vikar som jobber i denne perioden." promptTitle="Arbeidsuker i tilskuddsperioden" prompt="Oppgi antall uker den ansatte er på jobb og har direkte oppfølging med flyktningen - i løpet av flyktningens tilskuddsperiode (altså ikke per kalenderår). _x000a__x000a_Det vil si ekskludert de ukene den ansatte er på ferie, sykmeldt eller i permisjon." sqref="E25 E151 E67 E109 E193" xr:uid="{DDC831AE-7AC3-4AF7-8E45-BA2D67260E3A}">
      <formula1>M25</formula1>
    </dataValidation>
    <dataValidation allowBlank="1" showInputMessage="1" showErrorMessage="1" promptTitle="Tiltak" prompt="Oppgi hvilket tiltak i søknaden de(n) ansatte er brukt i, som «hjemmesykepleie»." sqref="E12 E138 E54 E96 E180" xr:uid="{6619F07C-8896-4912-A4D9-E930ED591E18}"/>
  </dataValidations>
  <hyperlinks>
    <hyperlink ref="D21" r:id="rId1" display="Finn din kommunes differensierte avgiftssats her" xr:uid="{20A02FD4-8C5B-40C9-A0F2-E71054C52BA4}"/>
    <hyperlink ref="D63" r:id="rId2" display="Finn din kommunes differensierte avgiftssats her" xr:uid="{5CF40EAF-1BF4-48E9-968D-C7FA95B74529}"/>
    <hyperlink ref="D105" r:id="rId3" display="Finn din kommunes differensierte avgiftssats her" xr:uid="{AF0CB504-3937-49F4-9B92-149F849A831D}"/>
    <hyperlink ref="D147" r:id="rId4" display="Finn din kommunes differensierte avgiftssats her" xr:uid="{D80DEDF2-C641-49F3-B00E-3721A5A24C62}"/>
    <hyperlink ref="D189" r:id="rId5" display="Finn din kommunes differensierte avgiftssats her" xr:uid="{99B6D46D-A4AD-4B8A-B623-E3D12C3AE1E9}"/>
  </hyperlinks>
  <pageMargins left="0.25" right="0.25" top="0.75" bottom="0.75" header="0.3" footer="0.3"/>
  <pageSetup paperSize="9" scale="39" orientation="portrait" r:id="rId6"/>
  <rowBreaks count="1" manualBreakCount="1">
    <brk id="36" min="1" max="7" man="1"/>
  </rowBreaks>
  <extLst>
    <ext xmlns:x14="http://schemas.microsoft.com/office/spreadsheetml/2009/9/main" uri="{CCE6A557-97BC-4b89-ADB6-D9C93CAAB3DF}">
      <x14:dataValidations xmlns:xm="http://schemas.microsoft.com/office/excel/2006/main" xWindow="462" yWindow="616" count="3">
        <x14:dataValidation type="list" allowBlank="1" showInputMessage="1" showErrorMessage="1" errorTitle="Ugyldig verdi" error="Feriepengersatsen må være 12% eller 14,2% av feriepengegrunnlaget. _x000a__x000a_Velg fra nedtrekksmenyen." promptTitle="Feriepenger" prompt="Velg &quot;12 %&quot; eller &quot;14,3 %&quot; - feriepengegrunnlag._x000a__x000a_Det vanligste er 12 %. 14,3 % brukes for ansatte over 60 år. Denne gruppen har rett på av 14,3 % av feriepengegrunnlaget ved seks ukers ferie." xr:uid="{71238340-0221-4E61-B5F9-2D50CB019696}">
          <x14:formula1>
            <xm:f>Innstillinger!$B$58:$B$60</xm:f>
          </x14:formula1>
          <xm:sqref>E18 E144 E60 E102 E186</xm:sqref>
        </x14:dataValidation>
        <x14:dataValidation type="list" allowBlank="1" showInputMessage="1" showErrorMessage="1" errorTitle="Ugyldig verdi" error="Velg riktig sats fra nedtrekksmenyen._x000a__x000a_Sone   Sats _x000a_I           14,1 %_x000a_II          10,6 %_x000a_III           6,4 %_x000a_IV           5,1 %_x000a_IVa         7,9 %_x000a_V            0,0 %_x000a_" promptTitle="Arbeidsgiveravgift" prompt="Oppgi satsen for arbeidsgiveravgift for din kommune. Arbeidsgiveravgiften er regionalt differensiert og fastsettes av Stortinget hvert år. _x000a__x000a_Klikk på linken til venstre for å finne riktig arbeidsgiveravgift for deres kommune._x000a_" xr:uid="{B34F3F17-B377-4B04-BA7C-9346BFF2354A}">
          <x14:formula1>
            <xm:f>Innstillinger!$B$48:$B$54</xm:f>
          </x14:formula1>
          <xm:sqref>E20 E146 E62 E104 E188</xm:sqref>
        </x14:dataValidation>
        <x14:dataValidation type="list" allowBlank="1" showInputMessage="1" showErrorMessage="1" errorTitle="Ugyldig verdi" error="Velg riktig svar fra nedtrekksmenyen." promptTitle="Alminnelig arbeidstid" prompt="Velg riktig ukentlig arbeidstid for den ansatte. Vanligst er 37,5t for tariffavtale, og 35,5t for turnus._x000a__x000a_Selv om den ansatte jobber deltid, skal dere oppgi antall timer personen ville hatt i en fullstilling i løpet av en uke." xr:uid="{26DC1615-A544-4292-9474-EDB9AD557E2F}">
          <x14:formula1>
            <xm:f>Innstillinger!$B$40:$B$44</xm:f>
          </x14:formula1>
          <xm:sqref>E23 E149 E65 E107 E191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1009-B4F6-440B-9756-3EB0C3307E45}">
  <sheetPr codeName="Ark3">
    <tabColor rgb="FFF2E7E7"/>
    <pageSetUpPr autoPageBreaks="0"/>
  </sheetPr>
  <dimension ref="A1:S240"/>
  <sheetViews>
    <sheetView showGridLines="0" zoomScaleNormal="100" workbookViewId="0">
      <pane ySplit="1" topLeftCell="A2" activePane="bottomLeft" state="frozen"/>
      <selection pane="bottomLeft"/>
    </sheetView>
  </sheetViews>
  <sheetFormatPr baseColWidth="10" defaultColWidth="0" defaultRowHeight="15" zeroHeight="1" x14ac:dyDescent="0.25"/>
  <cols>
    <col min="1" max="1" width="1.42578125" customWidth="1"/>
    <col min="2" max="3" width="4.28515625" customWidth="1"/>
    <col min="4" max="4" width="43.28515625" customWidth="1"/>
    <col min="5" max="5" width="35.140625" customWidth="1"/>
    <col min="6" max="6" width="4.28515625" style="96" customWidth="1"/>
    <col min="7" max="7" width="30" customWidth="1"/>
    <col min="8" max="8" width="49.42578125" customWidth="1"/>
    <col min="9" max="10" width="4.28515625" customWidth="1"/>
    <col min="11" max="11" width="1.42578125" customWidth="1"/>
    <col min="12" max="13" width="11.42578125" hidden="1" customWidth="1"/>
    <col min="14" max="14" width="7" hidden="1" customWidth="1"/>
    <col min="15" max="15" width="11.42578125" hidden="1" customWidth="1"/>
    <col min="16" max="17" width="39.140625" hidden="1" customWidth="1"/>
    <col min="18" max="18" width="1.5703125" hidden="1" customWidth="1"/>
    <col min="19" max="16384" width="11.42578125" hidden="1"/>
  </cols>
  <sheetData>
    <row r="1" spans="1:19" s="212" customFormat="1" ht="47.1" customHeight="1" x14ac:dyDescent="0.5">
      <c r="A1" s="210"/>
      <c r="B1" s="210"/>
      <c r="C1" s="174" t="s">
        <v>95</v>
      </c>
      <c r="D1" s="174"/>
      <c r="E1" s="210"/>
      <c r="F1" s="211"/>
      <c r="G1" s="210"/>
      <c r="H1" s="210"/>
      <c r="I1" s="174"/>
      <c r="J1" s="210"/>
      <c r="K1" s="210"/>
    </row>
    <row r="2" spans="1:19" ht="15" customHeight="1" x14ac:dyDescent="0.25">
      <c r="A2" s="8"/>
      <c r="B2" s="9"/>
      <c r="C2" s="9"/>
      <c r="D2" s="9"/>
      <c r="E2" s="9"/>
      <c r="F2" s="92"/>
      <c r="G2" s="9"/>
      <c r="H2" s="9"/>
      <c r="I2" s="9"/>
      <c r="J2" s="9"/>
      <c r="K2" s="8"/>
    </row>
    <row r="3" spans="1:19" ht="24" x14ac:dyDescent="0.4">
      <c r="A3" s="8"/>
      <c r="B3" s="9"/>
      <c r="C3" s="177"/>
      <c r="D3" s="180" t="s">
        <v>54</v>
      </c>
      <c r="E3" s="178"/>
      <c r="F3" s="179"/>
      <c r="G3" s="189" t="s">
        <v>55</v>
      </c>
      <c r="H3" s="178"/>
      <c r="I3" s="80"/>
      <c r="J3" s="9"/>
      <c r="K3" s="8"/>
      <c r="O3" s="157" t="s">
        <v>56</v>
      </c>
      <c r="P3" s="209">
        <v>1250</v>
      </c>
      <c r="Q3" s="165"/>
      <c r="R3" s="146" t="s">
        <v>57</v>
      </c>
    </row>
    <row r="4" spans="1:19" ht="26.25" customHeight="1" x14ac:dyDescent="0.25">
      <c r="A4" s="8"/>
      <c r="B4" s="9"/>
      <c r="C4" s="244" t="s">
        <v>58</v>
      </c>
      <c r="D4" s="173" t="s">
        <v>96</v>
      </c>
      <c r="E4" s="76"/>
      <c r="F4" s="172" t="s">
        <v>60</v>
      </c>
      <c r="G4" s="173" t="s">
        <v>97</v>
      </c>
      <c r="H4" s="76"/>
      <c r="I4" s="77"/>
      <c r="J4" s="9"/>
      <c r="K4" s="8"/>
      <c r="O4" s="157" t="s">
        <v>62</v>
      </c>
      <c r="P4" s="176">
        <v>0.1</v>
      </c>
      <c r="Q4" s="165"/>
      <c r="R4" s="146" t="s">
        <v>57</v>
      </c>
    </row>
    <row r="5" spans="1:19" ht="26.25" customHeight="1" x14ac:dyDescent="0.25">
      <c r="A5" s="8"/>
      <c r="B5" s="9"/>
      <c r="C5" s="244" t="s">
        <v>58</v>
      </c>
      <c r="D5" s="262" t="s">
        <v>98</v>
      </c>
      <c r="E5" s="262"/>
      <c r="F5" s="172" t="s">
        <v>60</v>
      </c>
      <c r="G5" s="173" t="s">
        <v>99</v>
      </c>
      <c r="H5" s="76"/>
      <c r="I5" s="77"/>
      <c r="J5" s="9"/>
      <c r="K5" s="8"/>
      <c r="O5" s="157" t="s">
        <v>65</v>
      </c>
      <c r="P5" s="164" t="s">
        <v>66</v>
      </c>
      <c r="Q5" s="165"/>
      <c r="R5" s="146" t="s">
        <v>57</v>
      </c>
    </row>
    <row r="6" spans="1:19" ht="26.25" customHeight="1" x14ac:dyDescent="0.25">
      <c r="A6" s="8"/>
      <c r="B6" s="9"/>
      <c r="C6" s="244" t="s">
        <v>58</v>
      </c>
      <c r="D6" s="262" t="s">
        <v>63</v>
      </c>
      <c r="E6" s="262"/>
      <c r="F6" s="172" t="s">
        <v>60</v>
      </c>
      <c r="G6" s="263" t="s">
        <v>64</v>
      </c>
      <c r="H6" s="262"/>
      <c r="I6" s="83"/>
      <c r="J6" s="9"/>
      <c r="K6" s="8"/>
      <c r="O6" s="158" t="s">
        <v>65</v>
      </c>
      <c r="P6" s="166" t="s">
        <v>69</v>
      </c>
      <c r="Q6" s="167"/>
      <c r="R6" s="146" t="s">
        <v>57</v>
      </c>
    </row>
    <row r="7" spans="1:19" ht="22.5" customHeight="1" x14ac:dyDescent="0.25">
      <c r="A7" s="8"/>
      <c r="B7" s="9"/>
      <c r="C7" s="244" t="s">
        <v>58</v>
      </c>
      <c r="D7" s="262" t="s">
        <v>67</v>
      </c>
      <c r="E7" s="262"/>
      <c r="F7" s="172" t="s">
        <v>60</v>
      </c>
      <c r="G7" s="266" t="s">
        <v>68</v>
      </c>
      <c r="H7" s="266"/>
      <c r="I7" s="83"/>
      <c r="J7" s="9"/>
      <c r="K7" s="8"/>
      <c r="O7" s="158" t="s">
        <v>70</v>
      </c>
      <c r="P7" s="166" t="s">
        <v>71</v>
      </c>
      <c r="Q7" s="167" t="s">
        <v>72</v>
      </c>
      <c r="R7" s="146" t="s">
        <v>57</v>
      </c>
    </row>
    <row r="8" spans="1:19" ht="22.5" customHeight="1" x14ac:dyDescent="0.25">
      <c r="A8" s="8"/>
      <c r="B8" s="9"/>
      <c r="C8" s="93"/>
      <c r="D8" s="93"/>
      <c r="E8" s="93"/>
      <c r="F8" s="172"/>
      <c r="G8" s="266"/>
      <c r="H8" s="266"/>
      <c r="I8" s="83"/>
      <c r="J8" s="9"/>
      <c r="K8" s="8"/>
    </row>
    <row r="9" spans="1:19" x14ac:dyDescent="0.25">
      <c r="A9" s="8"/>
      <c r="B9" s="9"/>
      <c r="C9" s="54"/>
      <c r="D9" s="54"/>
      <c r="E9" s="54"/>
      <c r="F9" s="94"/>
      <c r="G9" s="54"/>
      <c r="H9" s="54"/>
      <c r="I9" s="54"/>
      <c r="J9" s="9"/>
      <c r="K9" s="8"/>
    </row>
    <row r="10" spans="1:19" ht="6" customHeight="1" x14ac:dyDescent="0.25">
      <c r="A10" s="8"/>
      <c r="B10" s="8"/>
      <c r="C10" s="8"/>
      <c r="D10" s="8"/>
      <c r="E10" s="8"/>
      <c r="F10" s="91"/>
      <c r="G10" s="8"/>
      <c r="H10" s="8"/>
      <c r="I10" s="8"/>
      <c r="J10" s="8"/>
      <c r="K10" s="8"/>
    </row>
    <row r="11" spans="1:19" x14ac:dyDescent="0.25">
      <c r="A11" s="8"/>
      <c r="B11" s="9"/>
      <c r="C11" s="1"/>
      <c r="D11" s="1"/>
      <c r="E11" s="1"/>
      <c r="F11" s="95"/>
      <c r="G11" s="1"/>
      <c r="H11" s="1"/>
      <c r="I11" s="1"/>
      <c r="J11" s="9"/>
      <c r="K11" s="8"/>
      <c r="M11">
        <v>1</v>
      </c>
      <c r="N11" s="122" t="s">
        <v>73</v>
      </c>
      <c r="O11" s="122" t="s">
        <v>74</v>
      </c>
      <c r="P11" s="122" t="s">
        <v>75</v>
      </c>
      <c r="Q11" s="122" t="s">
        <v>76</v>
      </c>
      <c r="R11" s="122" t="s">
        <v>57</v>
      </c>
    </row>
    <row r="12" spans="1:19" ht="26.25" x14ac:dyDescent="0.4">
      <c r="A12" s="8"/>
      <c r="B12" s="9"/>
      <c r="C12" s="1"/>
      <c r="D12" s="227" t="s">
        <v>77</v>
      </c>
      <c r="E12" s="1"/>
      <c r="F12" s="95"/>
      <c r="G12" s="1"/>
      <c r="H12" s="1"/>
      <c r="I12" s="1"/>
      <c r="J12" s="9"/>
      <c r="K12" s="8"/>
      <c r="N12" s="122"/>
      <c r="O12" s="122"/>
      <c r="P12" s="122"/>
      <c r="Q12" s="122"/>
      <c r="R12" s="122"/>
    </row>
    <row r="13" spans="1:19" ht="15.75" thickBot="1" x14ac:dyDescent="0.3">
      <c r="A13" s="8"/>
      <c r="B13" s="9"/>
      <c r="C13" s="1"/>
      <c r="D13" s="3" t="s">
        <v>78</v>
      </c>
      <c r="E13" s="135"/>
      <c r="F13" s="90" t="str">
        <f>O13</f>
        <v xml:space="preserve">*obligatorisk </v>
      </c>
      <c r="G13" s="221"/>
      <c r="H13" s="221"/>
      <c r="I13" s="1"/>
      <c r="J13" s="9"/>
      <c r="K13" s="8"/>
      <c r="N13" s="154">
        <f>IF(E13="",1,0)</f>
        <v>1</v>
      </c>
      <c r="O13" s="124" t="str">
        <f>IF(N13=1,$P$6,"")</f>
        <v xml:space="preserve">*obligatorisk </v>
      </c>
      <c r="P13" s="146" t="s">
        <v>57</v>
      </c>
      <c r="Q13" s="146" t="s">
        <v>57</v>
      </c>
      <c r="R13" s="146" t="s">
        <v>57</v>
      </c>
    </row>
    <row r="14" spans="1:19" ht="16.5" thickTop="1" thickBot="1" x14ac:dyDescent="0.3">
      <c r="A14" s="8"/>
      <c r="B14" s="9"/>
      <c r="C14" s="1"/>
      <c r="D14" s="3" t="s">
        <v>79</v>
      </c>
      <c r="E14" s="135"/>
      <c r="F14" s="90" t="str">
        <f>O14</f>
        <v xml:space="preserve">*obligatorisk </v>
      </c>
      <c r="G14" s="221"/>
      <c r="H14" s="221"/>
      <c r="I14" s="1"/>
      <c r="J14" s="9"/>
      <c r="K14" s="8"/>
      <c r="N14" s="154">
        <f>IF(E14="",1,0)</f>
        <v>1</v>
      </c>
      <c r="O14" s="124" t="str">
        <f>IF(N14=1,$P$6,"")</f>
        <v xml:space="preserve">*obligatorisk </v>
      </c>
      <c r="P14" s="146" t="s">
        <v>57</v>
      </c>
      <c r="Q14" s="146" t="s">
        <v>57</v>
      </c>
      <c r="R14" s="146" t="s">
        <v>57</v>
      </c>
    </row>
    <row r="15" spans="1:19" ht="16.5" thickTop="1" thickBot="1" x14ac:dyDescent="0.3">
      <c r="A15" s="8"/>
      <c r="B15" s="9"/>
      <c r="C15" s="1"/>
      <c r="D15" s="3" t="s">
        <v>100</v>
      </c>
      <c r="E15" s="87"/>
      <c r="F15" s="90" t="str">
        <f t="shared" ref="F15" si="0">O15</f>
        <v xml:space="preserve">*obligatorisk </v>
      </c>
      <c r="G15" s="221"/>
      <c r="J15" s="9"/>
      <c r="K15" s="8"/>
      <c r="N15" s="154">
        <f>IFERROR(IF(E15="",1,IF(E15=Innstillinger!$B$8,1,IF(E15/1&lt;1,2,0))),3)</f>
        <v>1</v>
      </c>
      <c r="O15" s="124" t="str">
        <f>IF(N15=1,$P$6,"")</f>
        <v xml:space="preserve">*obligatorisk </v>
      </c>
      <c r="P15" s="146" t="s">
        <v>57</v>
      </c>
      <c r="Q15" s="146" t="s">
        <v>57</v>
      </c>
      <c r="R15" s="146" t="s">
        <v>57</v>
      </c>
      <c r="S15" s="121"/>
    </row>
    <row r="16" spans="1:19" ht="15.75" thickTop="1" x14ac:dyDescent="0.25">
      <c r="A16" s="8"/>
      <c r="B16" s="9"/>
      <c r="C16" s="1"/>
      <c r="D16" s="3"/>
      <c r="E16" s="3"/>
      <c r="F16" s="149"/>
      <c r="G16" s="144"/>
      <c r="H16" s="144"/>
      <c r="I16" s="144"/>
      <c r="J16" s="9"/>
      <c r="K16" s="8"/>
      <c r="N16" s="47"/>
      <c r="P16" s="147"/>
      <c r="Q16" s="147"/>
      <c r="R16" s="147"/>
      <c r="S16" s="121"/>
    </row>
    <row r="17" spans="1:19" ht="16.5" customHeight="1" thickBot="1" x14ac:dyDescent="0.35">
      <c r="A17" s="8"/>
      <c r="B17" s="9"/>
      <c r="C17" s="67"/>
      <c r="D17" s="3" t="s">
        <v>101</v>
      </c>
      <c r="E17" s="86"/>
      <c r="F17" s="148" t="str">
        <f t="shared" ref="F17:F19" si="1">O17</f>
        <v xml:space="preserve">*obligatorisk </v>
      </c>
      <c r="G17" s="163"/>
      <c r="H17" s="163"/>
      <c r="I17" s="67"/>
      <c r="J17" s="9"/>
      <c r="K17" s="8"/>
      <c r="N17" s="154">
        <f>IFERROR(IF(E17="",1,IF(E17=Innstillinger!$B$8,1,IF(AND(E17&lt;&gt;Innstillinger!$B$9,E17&lt;&gt;Innstillinger!$B$10),2,0))),3)</f>
        <v>1</v>
      </c>
      <c r="O17" s="124" t="str">
        <f>IF(N17=1,$P$6,"")</f>
        <v xml:space="preserve">*obligatorisk </v>
      </c>
      <c r="P17" s="146" t="s">
        <v>57</v>
      </c>
      <c r="Q17" s="146" t="s">
        <v>57</v>
      </c>
      <c r="R17" s="146" t="s">
        <v>57</v>
      </c>
    </row>
    <row r="18" spans="1:19" ht="17.25" thickTop="1" thickBot="1" x14ac:dyDescent="0.35">
      <c r="A18" s="8"/>
      <c r="B18" s="9"/>
      <c r="C18" s="67"/>
      <c r="D18" s="3" t="s">
        <v>103</v>
      </c>
      <c r="E18" s="87"/>
      <c r="F18" s="148" t="str">
        <f t="shared" si="1"/>
        <v xml:space="preserve">*obligatorisk </v>
      </c>
      <c r="G18" s="163"/>
      <c r="H18" s="163"/>
      <c r="I18" s="67"/>
      <c r="J18" s="9"/>
      <c r="K18" s="8"/>
      <c r="N18" s="154">
        <f>IFERROR(IF(E18="",1,IF(E18=Innstillinger!$B$8,1,IF(AND(E18&lt;38,E18&gt;45),2,0))),3)</f>
        <v>1</v>
      </c>
      <c r="O18" s="124" t="str">
        <f>IF(N18=1,$P$6,"")</f>
        <v xml:space="preserve">*obligatorisk </v>
      </c>
      <c r="P18" s="146" t="s">
        <v>57</v>
      </c>
      <c r="Q18" s="146" t="s">
        <v>57</v>
      </c>
      <c r="R18" s="146" t="s">
        <v>57</v>
      </c>
    </row>
    <row r="19" spans="1:19" ht="17.25" thickTop="1" thickBot="1" x14ac:dyDescent="0.35">
      <c r="A19" s="8"/>
      <c r="B19" s="9"/>
      <c r="C19" s="67"/>
      <c r="D19" s="3" t="s">
        <v>104</v>
      </c>
      <c r="E19" s="85"/>
      <c r="F19" s="148" t="str">
        <f t="shared" si="1"/>
        <v xml:space="preserve">*obligatorisk </v>
      </c>
      <c r="G19" s="68"/>
      <c r="H19" s="156"/>
      <c r="I19" s="67"/>
      <c r="J19" s="9"/>
      <c r="K19" s="8"/>
      <c r="M19" s="154">
        <f>IFERROR(VLOOKUP(E19,Innstillinger!$B$14:$C$19,2,FALSE),0)</f>
        <v>0</v>
      </c>
      <c r="N19" s="154">
        <f>IFERROR(IF(E19="",1,IF(E19=Innstillinger!$B$8,1,IF(M19/1&lt;1,2,0))),3)</f>
        <v>1</v>
      </c>
      <c r="O19" s="124" t="str">
        <f>IF(N19=1,$P$6,"")</f>
        <v xml:space="preserve">*obligatorisk </v>
      </c>
      <c r="P19" s="146" t="s">
        <v>57</v>
      </c>
      <c r="Q19" s="146" t="s">
        <v>57</v>
      </c>
      <c r="R19" s="146" t="s">
        <v>57</v>
      </c>
    </row>
    <row r="20" spans="1:19" ht="17.25" customHeight="1" thickTop="1" thickBot="1" x14ac:dyDescent="0.35">
      <c r="A20" s="8"/>
      <c r="B20" s="9"/>
      <c r="C20" s="67"/>
      <c r="D20" s="89" t="s">
        <v>106</v>
      </c>
      <c r="E20" s="214"/>
      <c r="F20" s="90" t="str">
        <f>O20</f>
        <v/>
      </c>
      <c r="G20" s="231"/>
      <c r="H20" s="231"/>
      <c r="I20" s="67"/>
      <c r="J20" s="9"/>
      <c r="K20" s="8"/>
      <c r="N20" s="154">
        <f>IF(AND(M19=0,E19=Innstillinger!$B$19),1,0)</f>
        <v>0</v>
      </c>
      <c r="O20" s="124" t="str">
        <f>IF(N20=1,P20,"")</f>
        <v/>
      </c>
      <c r="P20" s="170" t="s">
        <v>107</v>
      </c>
      <c r="Q20" s="146" t="s">
        <v>57</v>
      </c>
      <c r="R20" s="146" t="s">
        <v>57</v>
      </c>
    </row>
    <row r="21" spans="1:19" ht="15.75" thickTop="1" x14ac:dyDescent="0.25">
      <c r="A21" s="8"/>
      <c r="B21" s="9"/>
      <c r="C21" s="1"/>
      <c r="D21" s="3"/>
      <c r="E21" s="3"/>
      <c r="F21" s="261" t="str">
        <f>O23</f>
        <v xml:space="preserve">*obligatorisk </v>
      </c>
      <c r="G21" s="261"/>
      <c r="H21" s="261"/>
      <c r="I21" s="1"/>
      <c r="J21" s="9"/>
      <c r="K21" s="8"/>
      <c r="N21" s="154">
        <f>N23</f>
        <v>1</v>
      </c>
      <c r="O21" s="47"/>
      <c r="P21" s="136"/>
    </row>
    <row r="22" spans="1:19" ht="15.75" customHeight="1" x14ac:dyDescent="0.25">
      <c r="A22" s="8"/>
      <c r="B22" s="9"/>
      <c r="C22" s="1"/>
      <c r="D22" s="3"/>
      <c r="E22" s="3"/>
      <c r="F22" s="261"/>
      <c r="G22" s="261"/>
      <c r="H22" s="261"/>
      <c r="I22" s="1"/>
      <c r="J22" s="9"/>
      <c r="K22" s="8"/>
      <c r="N22" s="47"/>
      <c r="O22" s="47"/>
      <c r="P22" s="136"/>
    </row>
    <row r="23" spans="1:19" ht="15.75" thickBot="1" x14ac:dyDescent="0.3">
      <c r="A23" s="8"/>
      <c r="B23" s="9"/>
      <c r="C23" s="1"/>
      <c r="D23" s="3" t="s">
        <v>81</v>
      </c>
      <c r="E23" s="132"/>
      <c r="F23" s="261"/>
      <c r="G23" s="261"/>
      <c r="H23" s="261"/>
      <c r="I23" s="1"/>
      <c r="J23" s="9"/>
      <c r="K23" s="8"/>
      <c r="M23" s="155"/>
      <c r="N23" s="154">
        <f>IFERROR(IF(E23="",1,IF(E23=Innstillinger!$B$8,1,IF(E23/1&lt;0,2,0))),3)</f>
        <v>1</v>
      </c>
      <c r="O23" s="124" t="str">
        <f>IF(N23=1,$P$6,IF(E35="","",IF(E35&gt;$P$3,P23,"")))</f>
        <v xml:space="preserve">*obligatorisk </v>
      </c>
      <c r="P23" s="168" t="str">
        <f>"⚠️Årslønnen dere oppgir, utgjør en høy timesats for en ansatt med undervisningstid. Timesats over "&amp;$P$3&amp;" kroner, inkludert sosiale utgifter, må dokumenteres. Vi ber dere derfor legge ved underbilag som dokumenterer den ansattes årslønn."</f>
        <v>⚠️Årslønnen dere oppgir, utgjør en høy timesats for en ansatt med undervisningstid. Timesats over 1250 kroner, inkludert sosiale utgifter, må dokumenteres. Vi ber dere derfor legge ved underbilag som dokumenterer den ansattes årslønn.</v>
      </c>
      <c r="Q23" s="146"/>
      <c r="R23" s="146" t="s">
        <v>57</v>
      </c>
    </row>
    <row r="24" spans="1:19" ht="16.5" thickTop="1" thickBot="1" x14ac:dyDescent="0.3">
      <c r="A24" s="8"/>
      <c r="B24" s="9"/>
      <c r="C24" s="1"/>
      <c r="D24" s="3" t="s">
        <v>82</v>
      </c>
      <c r="E24" s="16"/>
      <c r="F24" s="90" t="str">
        <f t="shared" ref="F24:F26" si="2">O24</f>
        <v xml:space="preserve">*obligatorisk </v>
      </c>
      <c r="G24" s="222"/>
      <c r="H24" s="222"/>
      <c r="I24" s="1"/>
      <c r="J24" s="9"/>
      <c r="K24" s="8"/>
      <c r="N24" s="154">
        <f>IFERROR(IF(E24="",1,IF(E24=Innstillinger!$B$8,1,IF(AND(E24&lt;&gt;12%,E24&lt;&gt;14.3%),2,0))),3)</f>
        <v>1</v>
      </c>
      <c r="O24" s="124" t="str">
        <f>IF(N24=1,$P$6,"")</f>
        <v xml:space="preserve">*obligatorisk </v>
      </c>
      <c r="P24" s="146" t="s">
        <v>57</v>
      </c>
      <c r="Q24" s="146" t="s">
        <v>57</v>
      </c>
      <c r="R24" s="146" t="s">
        <v>57</v>
      </c>
    </row>
    <row r="25" spans="1:19" ht="16.5" thickTop="1" thickBot="1" x14ac:dyDescent="0.3">
      <c r="A25" s="8"/>
      <c r="B25" s="9"/>
      <c r="C25" s="1"/>
      <c r="D25" s="3" t="s">
        <v>83</v>
      </c>
      <c r="E25" s="17"/>
      <c r="F25" s="153" t="str">
        <f t="shared" si="2"/>
        <v xml:space="preserve">*obligatorisk </v>
      </c>
      <c r="G25" s="221"/>
      <c r="H25" s="223"/>
      <c r="I25" s="1"/>
      <c r="J25" s="9"/>
      <c r="K25" s="8"/>
      <c r="N25" s="154">
        <f>IFERROR(IF(E25="",1,IF(E25=Innstillinger!$B$8,1,IF(E25/1&lt;2%,2,0))),3)</f>
        <v>1</v>
      </c>
      <c r="O25" s="124" t="str">
        <f>IF(N25=1,$P$6,IF(E25&gt;$P$4,P25,""))</f>
        <v xml:space="preserve">*obligatorisk </v>
      </c>
      <c r="P25" s="168" t="str">
        <f>"⚠️Dere oppgir en høy pensjonssats - over "&amp;TEXT($P$4,"#%")&amp;". Forklar hvorfor, og vis utregning i kommentarfeltet nederst. "</f>
        <v xml:space="preserve">⚠️Dere oppgir en høy pensjonssats - over 10%. Forklar hvorfor, og vis utregning i kommentarfeltet nederst. </v>
      </c>
      <c r="Q25" s="146" t="s">
        <v>57</v>
      </c>
      <c r="R25" s="146" t="s">
        <v>57</v>
      </c>
    </row>
    <row r="26" spans="1:19" ht="15.75" thickTop="1" x14ac:dyDescent="0.25">
      <c r="A26" s="8"/>
      <c r="B26" s="9"/>
      <c r="C26" s="1"/>
      <c r="D26" s="60" t="s">
        <v>84</v>
      </c>
      <c r="E26" s="17"/>
      <c r="F26" s="90" t="str">
        <f t="shared" si="2"/>
        <v xml:space="preserve">*obligatorisk </v>
      </c>
      <c r="G26" s="223"/>
      <c r="H26" s="49"/>
      <c r="I26" s="1"/>
      <c r="J26" s="9"/>
      <c r="K26" s="8"/>
      <c r="N26" s="154">
        <f>IFERROR(IF(E26="",1,IF(E26=Innstillinger!$B$8,1,IF(E26/1&lt;0,2,0))),3)</f>
        <v>1</v>
      </c>
      <c r="O26" s="124" t="str">
        <f>IF(N26=1,$P$6,"")</f>
        <v xml:space="preserve">*obligatorisk </v>
      </c>
      <c r="P26" s="146" t="s">
        <v>57</v>
      </c>
      <c r="Q26" s="146" t="s">
        <v>57</v>
      </c>
      <c r="R26" s="146" t="s">
        <v>57</v>
      </c>
    </row>
    <row r="27" spans="1:19" x14ac:dyDescent="0.25">
      <c r="A27" s="8"/>
      <c r="B27" s="9"/>
      <c r="C27" s="1"/>
      <c r="D27" s="69" t="s">
        <v>85</v>
      </c>
      <c r="E27" s="14"/>
      <c r="F27" s="224" t="str">
        <f>O27</f>
        <v/>
      </c>
      <c r="G27" s="225"/>
      <c r="H27" s="225"/>
      <c r="I27" s="1"/>
      <c r="J27" s="9"/>
      <c r="K27" s="8"/>
      <c r="O27" s="124" t="str">
        <f>IF(N27=1,$P$6,"")</f>
        <v/>
      </c>
      <c r="P27" s="146" t="s">
        <v>57</v>
      </c>
      <c r="Q27" s="146" t="s">
        <v>57</v>
      </c>
      <c r="R27" s="146" t="s">
        <v>57</v>
      </c>
    </row>
    <row r="28" spans="1:19" x14ac:dyDescent="0.25">
      <c r="A28" s="8"/>
      <c r="B28" s="9"/>
      <c r="C28" s="1"/>
      <c r="D28" s="66"/>
      <c r="E28" s="14"/>
      <c r="F28" s="149"/>
      <c r="J28" s="9"/>
      <c r="K28" s="8"/>
      <c r="N28" s="47"/>
      <c r="O28" s="47"/>
      <c r="P28" s="136"/>
      <c r="R28" t="s">
        <v>57</v>
      </c>
      <c r="S28" s="121"/>
    </row>
    <row r="29" spans="1:19" ht="16.5" thickBot="1" x14ac:dyDescent="0.35">
      <c r="A29" s="8"/>
      <c r="B29" s="9"/>
      <c r="C29" s="67"/>
      <c r="D29" s="3" t="s">
        <v>109</v>
      </c>
      <c r="E29" s="87"/>
      <c r="F29" s="153" t="str">
        <f t="shared" ref="F29:F30" si="3">O29</f>
        <v xml:space="preserve">*obligatorisk </v>
      </c>
      <c r="I29" s="67"/>
      <c r="J29" s="9"/>
      <c r="K29" s="8"/>
      <c r="N29" s="154">
        <f>IFERROR(IF(E29="",1,IF(E29=Innstillinger!$B$8,1,IF(E29/1&lt;0,2,0))),3)</f>
        <v>1</v>
      </c>
      <c r="O29" s="124" t="str">
        <f>IF(E29="",$P$6,IF(E29=0,P29,""))</f>
        <v xml:space="preserve">*obligatorisk </v>
      </c>
      <c r="P29" s="168" t="s">
        <v>110</v>
      </c>
      <c r="Q29" s="146" t="s">
        <v>57</v>
      </c>
      <c r="R29" s="146" t="s">
        <v>57</v>
      </c>
      <c r="S29" s="114"/>
    </row>
    <row r="30" spans="1:19" ht="16.5" thickTop="1" thickBot="1" x14ac:dyDescent="0.3">
      <c r="A30" s="8"/>
      <c r="B30" s="9"/>
      <c r="C30" s="1"/>
      <c r="D30" s="3" t="s">
        <v>225</v>
      </c>
      <c r="E30" s="87"/>
      <c r="F30" s="265" t="str">
        <f t="shared" si="3"/>
        <v xml:space="preserve">*obligatorisk </v>
      </c>
      <c r="G30" s="265"/>
      <c r="H30" s="265"/>
      <c r="I30" s="144"/>
      <c r="J30" s="9"/>
      <c r="K30" s="8"/>
      <c r="M30" s="154">
        <f>IFERROR(VLOOKUP(E30,Innstillinger!B87:C90,2,FALSE),50)</f>
        <v>50</v>
      </c>
      <c r="N30" s="154">
        <f>IFERROR(IF(E30="",1,IF(E30=Innstillinger!$B$8,1,IF(AND(E29&gt;0,(E29-E30)/1&lt;0),0,0))),3)</f>
        <v>1</v>
      </c>
      <c r="O30" s="124" t="str">
        <f>IF(E30="",$P$6,IF(AND(E29&gt;0,(E29-E30)/1&lt;0),P30,""))</f>
        <v xml:space="preserve">*obligatorisk </v>
      </c>
      <c r="P30" s="168" t="str">
        <f>"⚠️Dere søker om flere timer ("&amp;ROUND(E30,0)&amp;" timer), enn det PPT tilråder ("&amp;ROUND(E29,0)&amp;" timer). Forklare i kommentarfeltet hvorfor dere søker på flere timer enn tilrådet."</f>
        <v>⚠️Dere søker om flere timer (0 timer), enn det PPT tilråder (0 timer). Forklare i kommentarfeltet hvorfor dere søker på flere timer enn tilrådet.</v>
      </c>
      <c r="Q30" s="146" t="s">
        <v>57</v>
      </c>
      <c r="R30" s="146" t="s">
        <v>57</v>
      </c>
      <c r="S30" s="121"/>
    </row>
    <row r="31" spans="1:19" ht="15.75" thickTop="1" x14ac:dyDescent="0.25">
      <c r="A31" s="8"/>
      <c r="B31" s="9"/>
      <c r="C31" s="1"/>
      <c r="D31" s="3"/>
      <c r="E31" s="14"/>
      <c r="F31" s="265"/>
      <c r="G31" s="265"/>
      <c r="H31" s="265"/>
      <c r="J31" s="9"/>
      <c r="K31" s="8"/>
    </row>
    <row r="32" spans="1:19" x14ac:dyDescent="0.25">
      <c r="A32" s="8"/>
      <c r="B32" s="9"/>
      <c r="C32" s="1"/>
      <c r="D32" s="3"/>
      <c r="E32" s="148"/>
      <c r="F32" s="160"/>
      <c r="J32" s="9"/>
      <c r="K32" s="8"/>
      <c r="N32" s="122" t="s">
        <v>87</v>
      </c>
      <c r="O32" s="122" t="s">
        <v>74</v>
      </c>
      <c r="P32" s="122" t="s">
        <v>75</v>
      </c>
      <c r="Q32" s="122" t="s">
        <v>76</v>
      </c>
      <c r="R32" s="122"/>
      <c r="S32" s="121"/>
    </row>
    <row r="33" spans="1:19" ht="15.75" thickBot="1" x14ac:dyDescent="0.3">
      <c r="A33" s="8"/>
      <c r="B33" s="9"/>
      <c r="C33" s="1"/>
      <c r="D33" s="3" t="s">
        <v>226</v>
      </c>
      <c r="E33" s="116" t="str">
        <f>IF(N33="skjul","",E30/VLOOKUP(E19,Innstillinger!$B$14:$C$19,2,FALSE))</f>
        <v/>
      </c>
      <c r="F33" s="213" t="str">
        <f>O33</f>
        <v/>
      </c>
      <c r="J33" s="9"/>
      <c r="K33" s="8"/>
      <c r="N33" s="123" t="str">
        <f>IF(N19+N21+N28+N23+N24+N25+N29+N30=0,"vis","skjul")</f>
        <v>skjul</v>
      </c>
      <c r="O33" s="124" t="str">
        <f>IF(AND(F42=TRUE,N33="vis"),Q33,"")</f>
        <v/>
      </c>
      <c r="P33" s="146" t="s">
        <v>57</v>
      </c>
      <c r="Q33" s="169" t="str">
        <f>"➡️ "&amp;TEXT(E33,"#%")&amp;" stilling  =  "&amp;E29&amp;" faktiske arbeidstimer/uke   ÷   "&amp;M28&amp;"  alminnelig arbeidstid/uke"</f>
        <v>➡️  stilling  =   faktiske arbeidstimer/uke   ÷     alminnelig arbeidstid/uke</v>
      </c>
      <c r="R33" s="146" t="s">
        <v>57</v>
      </c>
      <c r="S33" s="121"/>
    </row>
    <row r="34" spans="1:19" ht="16.5" thickTop="1" thickBot="1" x14ac:dyDescent="0.3">
      <c r="A34" s="8"/>
      <c r="B34" s="9"/>
      <c r="C34" s="1"/>
      <c r="D34" s="3" t="s">
        <v>227</v>
      </c>
      <c r="E34" s="133" t="str">
        <f>IF(N33="skjul","",IF(E17=Innstillinger!B10,'Lønn med undervisningstid'!E23*1500/'Lønn med undervisningstid'!M19/1687.5,E23*1400*100/M19/1687.5/112))</f>
        <v/>
      </c>
      <c r="F34" s="213" t="str">
        <f>O34</f>
        <v/>
      </c>
      <c r="G34" s="144"/>
      <c r="H34" s="144"/>
      <c r="I34" s="144"/>
      <c r="J34" s="9"/>
      <c r="K34" s="8"/>
      <c r="M34" s="175" t="e">
        <f>IF(E17=Innstillinger!B10,'Lønn med undervisningstid'!E23*1500/'Lønn med undervisningstid'!M19/1687.5,E23*1400*100/M19/1687.5/112)</f>
        <v>#DIV/0!</v>
      </c>
      <c r="N34" s="123" t="str">
        <f>N33</f>
        <v>skjul</v>
      </c>
      <c r="O34" s="124" t="str">
        <f>IF(AND(F42=TRUE,N34="vis"),IF(E17=Innstillinger!B10,P34,Q34),"")</f>
        <v/>
      </c>
      <c r="P34" s="169" t="str">
        <f>"➡️ "&amp;TEXT(E34,"# ##0,#0")&amp;" kroner per time  =  "&amp;TEXT(E23,"# ##0")&amp;" kroner årslønn x 1500 ÷  ("&amp;M19&amp;" årsramme x 1687,5), i Oslo kommune"</f>
        <v>➡️  kroner per time  =  0 kroner årslønn x 1500 ÷  (0 årsramme x 1687,5), i Oslo kommune</v>
      </c>
      <c r="Q34" s="169" t="str">
        <f>"➡️ "&amp;TEXT(E34,"# ##0,#0")&amp;" kroner per time  =  "&amp;TEXT(E23,"# ##0")&amp;" kroner årslønn x 1400 x 100 ÷  ("&amp;M19&amp;" årsramme x 1687,5 x 112), i KS-området"</f>
        <v>➡️  kroner per time  =  0 kroner årslønn x 1400 x 100 ÷  (0 årsramme x 1687,5 x 112), i KS-området</v>
      </c>
      <c r="R34" s="146" t="s">
        <v>57</v>
      </c>
      <c r="S34" s="121"/>
    </row>
    <row r="35" spans="1:19" ht="16.5" thickTop="1" thickBot="1" x14ac:dyDescent="0.3">
      <c r="A35" s="8"/>
      <c r="B35" s="9"/>
      <c r="C35" s="1"/>
      <c r="D35" s="3" t="s">
        <v>228</v>
      </c>
      <c r="E35" s="115" t="str">
        <f>IF(N35="skjul","",(E34*(1+E24+E25+(E24*E25))*(1+E26)))</f>
        <v/>
      </c>
      <c r="F35" s="213" t="str">
        <f>O35</f>
        <v/>
      </c>
      <c r="G35" s="120"/>
      <c r="H35" s="120"/>
      <c r="I35" s="120"/>
      <c r="J35" s="9"/>
      <c r="K35" s="8"/>
      <c r="M35" s="5"/>
      <c r="N35" s="123" t="str">
        <f>N34</f>
        <v>skjul</v>
      </c>
      <c r="O35" s="124" t="str">
        <f>IF(AND(F42=TRUE,N35="vis"),Q35,"")</f>
        <v/>
      </c>
      <c r="P35" s="146" t="s">
        <v>57</v>
      </c>
      <c r="Q35" s="169" t="str">
        <f>"➡️ "&amp;TEXT(E35,"# ##0,##")&amp;" kroner per time  =  "&amp;TEXT(E34,"# ##0,##")&amp;" timelønn  x  sosiale utgifter"</f>
        <v>➡️  kroner per time  =   timelønn  x  sosiale utgifter</v>
      </c>
      <c r="R35" s="146" t="s">
        <v>57</v>
      </c>
      <c r="S35" s="121"/>
    </row>
    <row r="36" spans="1:19" ht="15.75" thickTop="1" x14ac:dyDescent="0.25">
      <c r="A36" s="8"/>
      <c r="B36" s="9"/>
      <c r="C36" s="1"/>
      <c r="D36" s="3"/>
      <c r="E36" s="4"/>
      <c r="F36" s="159"/>
      <c r="J36" s="9"/>
      <c r="K36" s="8"/>
      <c r="M36" s="5"/>
      <c r="P36" s="136"/>
      <c r="Q36" s="136"/>
      <c r="R36" s="136" t="s">
        <v>57</v>
      </c>
      <c r="S36" s="121"/>
    </row>
    <row r="37" spans="1:19" ht="15.75" thickBot="1" x14ac:dyDescent="0.3">
      <c r="A37" s="8"/>
      <c r="B37" s="9"/>
      <c r="C37" s="1"/>
      <c r="D37" s="3" t="s">
        <v>89</v>
      </c>
      <c r="E37" s="35" t="str">
        <f>IF(N37="skjul","",E34*E30)</f>
        <v/>
      </c>
      <c r="F37" s="213" t="str">
        <f>O37</f>
        <v/>
      </c>
      <c r="G37" s="60"/>
      <c r="H37" s="60"/>
      <c r="I37" s="1"/>
      <c r="J37" s="9"/>
      <c r="K37" s="8"/>
      <c r="L37" s="144"/>
      <c r="N37" s="123" t="str">
        <f>N33</f>
        <v>skjul</v>
      </c>
      <c r="O37" s="124" t="str">
        <f>IF(AND(F42=TRUE,N37="vis"),Q37,"")</f>
        <v/>
      </c>
      <c r="P37" s="146" t="s">
        <v>57</v>
      </c>
      <c r="Q37" s="169" t="str">
        <f>"➡️ "&amp;TEXT(E37,"# ##0")&amp;" kroner lønn uten feriepenger  =  "&amp;TEXT(E34,"#,##")&amp;" timelønn  x  "&amp;E29&amp;" timer per uke   x   "&amp;E30&amp;" uker"</f>
        <v>➡️  kroner lønn uten feriepenger  =   timelønn  x   timer per uke   x    uker</v>
      </c>
      <c r="R37" s="146" t="s">
        <v>57</v>
      </c>
    </row>
    <row r="38" spans="1:19" ht="16.5" thickTop="1" thickBot="1" x14ac:dyDescent="0.3">
      <c r="A38" s="8"/>
      <c r="B38" s="9"/>
      <c r="C38" s="1"/>
      <c r="D38" s="3" t="s">
        <v>30</v>
      </c>
      <c r="E38" s="36" t="str">
        <f>IF(N37="skjul","",(E37)*E24)</f>
        <v/>
      </c>
      <c r="F38" s="213" t="str">
        <f>O38</f>
        <v/>
      </c>
      <c r="G38" s="60"/>
      <c r="H38" s="60"/>
      <c r="I38" s="1"/>
      <c r="J38" s="9"/>
      <c r="K38" s="8"/>
      <c r="L38" s="144"/>
      <c r="N38" s="123" t="str">
        <f>N33</f>
        <v>skjul</v>
      </c>
      <c r="O38" s="124" t="str">
        <f>IF(AND(F42=TRUE,N38="vis"),Q38,"")</f>
        <v/>
      </c>
      <c r="P38" s="146" t="s">
        <v>57</v>
      </c>
      <c r="Q38" s="169" t="str">
        <f>"➡️ "&amp;TEXT(E38,"# ##0")&amp;" kroner lønn uten feriepenger  =  "&amp;TEXT(E37,"# ##0")&amp;" lønn  x  "&amp;TEXT(E23,"#,0 %")&amp;" feriepenger sats"</f>
        <v>➡️  kroner lønn uten feriepenger  =   lønn  x  ,0 % feriepenger sats</v>
      </c>
      <c r="R38" s="146" t="s">
        <v>57</v>
      </c>
    </row>
    <row r="39" spans="1:19" ht="16.5" thickTop="1" thickBot="1" x14ac:dyDescent="0.3">
      <c r="A39" s="8"/>
      <c r="B39" s="9"/>
      <c r="C39" s="1"/>
      <c r="D39" s="3" t="s">
        <v>90</v>
      </c>
      <c r="E39" s="36" t="str">
        <f>IF(N37="skjul","",(E37+E38)*E25)</f>
        <v/>
      </c>
      <c r="F39" s="213" t="str">
        <f>O39</f>
        <v/>
      </c>
      <c r="G39" s="60"/>
      <c r="H39" s="60"/>
      <c r="I39" s="1"/>
      <c r="J39" s="9"/>
      <c r="K39" s="8"/>
      <c r="L39" s="144"/>
      <c r="M39" s="144"/>
      <c r="N39" s="123" t="str">
        <f>N33</f>
        <v>skjul</v>
      </c>
      <c r="O39" s="124" t="str">
        <f>IF(AND(F42=TRUE,N39="vis"),Q39,"")</f>
        <v/>
      </c>
      <c r="P39" s="146" t="s">
        <v>57</v>
      </c>
      <c r="Q39" s="169" t="str">
        <f>"➡️ "&amp;TEXT(E39,"# ##0")&amp;" kroner pensjon  =  ("&amp;TEXT(E37,"# ##0")&amp;" lønn + "&amp;TEXT(E38,"# ##0")&amp;" feriepenger)  x  "&amp;TEXT(E24,"#,0 %")&amp;" pensjon sats"</f>
        <v>➡️  kroner pensjon  =  ( lønn +  feriepenger)  x  ,0 % pensjon sats</v>
      </c>
      <c r="R39" s="146" t="s">
        <v>57</v>
      </c>
    </row>
    <row r="40" spans="1:19" ht="16.5" customHeight="1" thickTop="1" x14ac:dyDescent="0.25">
      <c r="A40" s="8"/>
      <c r="B40" s="9"/>
      <c r="C40" s="1"/>
      <c r="D40" s="3" t="s">
        <v>22</v>
      </c>
      <c r="E40" s="37" t="str">
        <f>IF(N37="skjul","",(E37+E38+E39)*E26)</f>
        <v/>
      </c>
      <c r="F40" s="213" t="str">
        <f>O40</f>
        <v/>
      </c>
      <c r="G40" s="60"/>
      <c r="H40" s="60"/>
      <c r="I40" s="1"/>
      <c r="J40" s="9"/>
      <c r="K40" s="8"/>
      <c r="L40" s="144"/>
      <c r="N40" s="123" t="str">
        <f>N33</f>
        <v>skjul</v>
      </c>
      <c r="O40" s="124" t="str">
        <f>IF(AND(F42=TRUE,N40="vis"),Q40,"")</f>
        <v/>
      </c>
      <c r="P40" s="146" t="s">
        <v>57</v>
      </c>
      <c r="Q40" s="169" t="str">
        <f>"➡️ "&amp;TEXT(E40,"# ##0")&amp;" kroner arbeidsgiveravgift =  ("&amp;TEXT(E37,"# ##0")&amp;" lønn + "&amp;TEXT(E38,"# ##0")&amp;" feriepenger + "&amp;TEXT(E39,"# ##0")&amp;" pensjon)  x  "&amp;TEXT(E25,"#,0 %")&amp;" aga sats"</f>
        <v>➡️  kroner arbeidsgiveravgift =  ( lønn +  feriepenger +  pensjon)  x  ,0 % aga sats</v>
      </c>
      <c r="R40" s="146" t="s">
        <v>57</v>
      </c>
    </row>
    <row r="41" spans="1:19" ht="6" customHeight="1" x14ac:dyDescent="0.25">
      <c r="A41" s="8"/>
      <c r="B41" s="9"/>
      <c r="C41" s="1"/>
      <c r="D41" s="3"/>
      <c r="E41" s="4"/>
      <c r="F41" s="185"/>
      <c r="G41" s="60"/>
      <c r="H41" s="60"/>
      <c r="I41" s="1"/>
      <c r="J41" s="9"/>
      <c r="K41" s="8"/>
      <c r="N41" s="47"/>
    </row>
    <row r="42" spans="1:19" ht="18.75" customHeight="1" x14ac:dyDescent="0.3">
      <c r="A42" s="8"/>
      <c r="B42" s="10"/>
      <c r="C42" s="11"/>
      <c r="D42" s="12" t="s">
        <v>92</v>
      </c>
      <c r="E42" s="13" t="str">
        <f>IFERROR(E37+E38+E39+E40,"")</f>
        <v/>
      </c>
      <c r="F42" s="241" t="b">
        <v>0</v>
      </c>
      <c r="G42" s="182" t="s">
        <v>93</v>
      </c>
      <c r="I42" s="11"/>
      <c r="J42" s="10"/>
      <c r="K42" s="8"/>
      <c r="L42" s="5"/>
      <c r="N42" s="123" t="str">
        <f>N33</f>
        <v>skjul</v>
      </c>
      <c r="O42" s="124"/>
      <c r="P42" s="146" t="s">
        <v>57</v>
      </c>
      <c r="Q42" s="169"/>
      <c r="R42" s="146" t="s">
        <v>57</v>
      </c>
    </row>
    <row r="43" spans="1:19" s="11" customFormat="1" ht="19.5" customHeight="1" x14ac:dyDescent="0.25">
      <c r="A43" s="8"/>
      <c r="B43" s="10"/>
      <c r="C43" s="98"/>
      <c r="D43" s="137" t="s">
        <v>91</v>
      </c>
      <c r="E43" s="138" t="str">
        <f>IFERROR(E42/E15,"")</f>
        <v/>
      </c>
      <c r="F43" s="213"/>
      <c r="G43" s="186"/>
      <c r="H43" s="186"/>
      <c r="I43" s="98"/>
      <c r="J43" s="10"/>
      <c r="K43" s="8"/>
      <c r="L43" s="226"/>
      <c r="N43" s="123" t="str">
        <f>N33</f>
        <v>skjul</v>
      </c>
      <c r="O43" s="124" t="str">
        <f>IF(AND(F42=TRUE,N43="vis"),Q43,"")</f>
        <v/>
      </c>
      <c r="P43" s="146" t="s">
        <v>57</v>
      </c>
      <c r="Q43" s="169" t="str">
        <f>"➡️ "&amp;TEXT(E43,"# ##0")&amp;" kroner totale =  "&amp;TEXT(E37,"# ##0")&amp;" lønn + "&amp;TEXT(E38,"# ##0")&amp;" fp + "&amp;TEXT(E39,"# ##0")&amp;" pensjon + "&amp;TEXT(E40,"# ##0")&amp;" arbeidsgiveravgift"</f>
        <v>➡️  kroner totale =   lønn +  fp +  pensjon +  arbeidsgiveravgift</v>
      </c>
      <c r="R43" s="146" t="s">
        <v>57</v>
      </c>
    </row>
    <row r="44" spans="1:19" x14ac:dyDescent="0.25">
      <c r="A44" s="8"/>
      <c r="B44" s="9"/>
      <c r="E44" s="5"/>
      <c r="F44" s="117"/>
      <c r="J44" s="9"/>
      <c r="K44" s="8"/>
      <c r="S44" s="121"/>
    </row>
    <row r="45" spans="1:19" x14ac:dyDescent="0.25">
      <c r="A45" s="8"/>
      <c r="B45" s="9"/>
      <c r="E45" s="5"/>
      <c r="F45" s="117"/>
      <c r="J45" s="9"/>
      <c r="K45" s="8"/>
      <c r="S45" s="121"/>
    </row>
    <row r="46" spans="1:19" x14ac:dyDescent="0.25">
      <c r="A46" s="8"/>
      <c r="B46" s="9"/>
      <c r="D46" s="3" t="s">
        <v>94</v>
      </c>
      <c r="E46" s="5"/>
      <c r="F46" s="117"/>
      <c r="J46" s="9"/>
      <c r="K46" s="8"/>
      <c r="S46" s="121"/>
    </row>
    <row r="47" spans="1:19" x14ac:dyDescent="0.25">
      <c r="A47" s="8"/>
      <c r="B47" s="9"/>
      <c r="D47" s="258"/>
      <c r="E47" s="259"/>
      <c r="F47" s="259"/>
      <c r="G47" s="259"/>
      <c r="H47" s="260"/>
      <c r="I47" s="162"/>
      <c r="J47" s="9"/>
      <c r="K47" s="8"/>
    </row>
    <row r="48" spans="1:19" x14ac:dyDescent="0.25">
      <c r="A48" s="8"/>
      <c r="B48" s="9"/>
      <c r="D48" s="252"/>
      <c r="E48" s="253"/>
      <c r="F48" s="253"/>
      <c r="G48" s="253"/>
      <c r="H48" s="254"/>
      <c r="I48" s="162"/>
      <c r="J48" s="9"/>
      <c r="K48" s="8"/>
    </row>
    <row r="49" spans="1:19" x14ac:dyDescent="0.25">
      <c r="A49" s="8"/>
      <c r="B49" s="9"/>
      <c r="D49" s="252"/>
      <c r="E49" s="253"/>
      <c r="F49" s="253"/>
      <c r="G49" s="253"/>
      <c r="H49" s="254"/>
      <c r="I49" s="162"/>
      <c r="J49" s="9"/>
      <c r="K49" s="8"/>
    </row>
    <row r="50" spans="1:19" x14ac:dyDescent="0.25">
      <c r="A50" s="8"/>
      <c r="B50" s="9"/>
      <c r="D50" s="252"/>
      <c r="E50" s="253"/>
      <c r="F50" s="253"/>
      <c r="G50" s="253"/>
      <c r="H50" s="254"/>
      <c r="I50" s="162"/>
      <c r="J50" s="9"/>
      <c r="K50" s="8"/>
    </row>
    <row r="51" spans="1:19" x14ac:dyDescent="0.25">
      <c r="A51" s="8"/>
      <c r="B51" s="9"/>
      <c r="D51" s="252"/>
      <c r="E51" s="253"/>
      <c r="F51" s="253"/>
      <c r="G51" s="253"/>
      <c r="H51" s="254"/>
      <c r="I51" s="162"/>
      <c r="J51" s="9"/>
      <c r="K51" s="8"/>
    </row>
    <row r="52" spans="1:19" x14ac:dyDescent="0.25">
      <c r="A52" s="8"/>
      <c r="B52" s="9"/>
      <c r="D52" s="255"/>
      <c r="E52" s="256"/>
      <c r="F52" s="256"/>
      <c r="G52" s="256"/>
      <c r="H52" s="257"/>
      <c r="I52" s="162"/>
      <c r="J52" s="9"/>
      <c r="K52" s="8"/>
    </row>
    <row r="53" spans="1:19" x14ac:dyDescent="0.25">
      <c r="A53" s="8"/>
      <c r="B53" s="9"/>
      <c r="E53" s="5"/>
      <c r="F53" s="117"/>
      <c r="J53" s="9"/>
      <c r="K53" s="8"/>
    </row>
    <row r="54" spans="1:19" x14ac:dyDescent="0.25">
      <c r="A54" s="8"/>
      <c r="B54" s="9"/>
      <c r="C54" s="9"/>
      <c r="D54" s="9"/>
      <c r="E54" s="9"/>
      <c r="F54" s="92"/>
      <c r="G54" s="9"/>
      <c r="H54" s="9"/>
      <c r="I54" s="9"/>
      <c r="J54" s="9"/>
      <c r="K54" s="8"/>
    </row>
    <row r="55" spans="1:19" x14ac:dyDescent="0.25">
      <c r="A55" s="8"/>
      <c r="B55" s="9"/>
      <c r="C55" s="9"/>
      <c r="D55" s="9"/>
      <c r="E55" s="9"/>
      <c r="F55" s="92"/>
      <c r="G55" s="9"/>
      <c r="H55" s="9"/>
      <c r="I55" s="9"/>
      <c r="J55" s="9"/>
      <c r="K55" s="8"/>
    </row>
    <row r="56" spans="1:19" ht="6" customHeight="1" x14ac:dyDescent="0.25">
      <c r="A56" s="8"/>
      <c r="B56" s="8"/>
      <c r="C56" s="8"/>
      <c r="D56" s="8"/>
      <c r="E56" s="8"/>
      <c r="F56" s="91"/>
      <c r="G56" s="8"/>
      <c r="H56" s="8"/>
      <c r="I56" s="8"/>
      <c r="J56" s="8"/>
      <c r="K56" s="8"/>
    </row>
    <row r="57" spans="1:19" x14ac:dyDescent="0.25">
      <c r="A57" s="8"/>
      <c r="B57" s="9"/>
      <c r="C57" s="1"/>
      <c r="D57" s="1"/>
      <c r="E57" s="1"/>
      <c r="F57" s="95"/>
      <c r="G57" s="1"/>
      <c r="H57" s="1"/>
      <c r="I57" s="1"/>
      <c r="J57" s="9"/>
      <c r="K57" s="8"/>
      <c r="M57">
        <v>1</v>
      </c>
      <c r="N57" s="122" t="s">
        <v>73</v>
      </c>
      <c r="O57" s="122" t="s">
        <v>74</v>
      </c>
      <c r="P57" s="122" t="s">
        <v>75</v>
      </c>
      <c r="Q57" s="122" t="s">
        <v>76</v>
      </c>
      <c r="R57" s="122" t="s">
        <v>57</v>
      </c>
    </row>
    <row r="58" spans="1:19" ht="26.25" x14ac:dyDescent="0.4">
      <c r="A58" s="8"/>
      <c r="B58" s="9"/>
      <c r="C58" s="1"/>
      <c r="D58" s="227" t="s">
        <v>223</v>
      </c>
      <c r="E58" s="1"/>
      <c r="F58" s="95"/>
      <c r="G58" s="1"/>
      <c r="H58" s="1"/>
      <c r="I58" s="1"/>
      <c r="J58" s="9"/>
      <c r="K58" s="8"/>
      <c r="N58" s="122"/>
      <c r="O58" s="122"/>
      <c r="P58" s="122"/>
      <c r="Q58" s="122"/>
      <c r="R58" s="122"/>
    </row>
    <row r="59" spans="1:19" ht="15.75" thickBot="1" x14ac:dyDescent="0.3">
      <c r="A59" s="8"/>
      <c r="B59" s="9"/>
      <c r="C59" s="1"/>
      <c r="D59" s="3" t="s">
        <v>78</v>
      </c>
      <c r="E59" s="135"/>
      <c r="F59" s="90" t="str">
        <f>O59</f>
        <v xml:space="preserve">*obligatorisk </v>
      </c>
      <c r="G59" s="221"/>
      <c r="H59" s="221"/>
      <c r="I59" s="1"/>
      <c r="J59" s="9"/>
      <c r="K59" s="8"/>
      <c r="N59" s="154">
        <f>IF(E59="",1,0)</f>
        <v>1</v>
      </c>
      <c r="O59" s="124" t="str">
        <f>IF(N59=1,$P$6,"")</f>
        <v xml:space="preserve">*obligatorisk </v>
      </c>
      <c r="P59" s="146" t="s">
        <v>57</v>
      </c>
      <c r="Q59" s="146" t="s">
        <v>57</v>
      </c>
      <c r="R59" s="146" t="s">
        <v>57</v>
      </c>
    </row>
    <row r="60" spans="1:19" ht="16.5" thickTop="1" thickBot="1" x14ac:dyDescent="0.3">
      <c r="A60" s="8"/>
      <c r="B60" s="9"/>
      <c r="C60" s="1"/>
      <c r="D60" s="3" t="s">
        <v>79</v>
      </c>
      <c r="E60" s="135"/>
      <c r="F60" s="90" t="str">
        <f>O60</f>
        <v xml:space="preserve">*obligatorisk </v>
      </c>
      <c r="G60" s="221"/>
      <c r="H60" s="221"/>
      <c r="I60" s="1"/>
      <c r="J60" s="9"/>
      <c r="K60" s="8"/>
      <c r="N60" s="154">
        <f>IF(E60="",1,0)</f>
        <v>1</v>
      </c>
      <c r="O60" s="124" t="str">
        <f>IF(N60=1,$P$6,"")</f>
        <v xml:space="preserve">*obligatorisk </v>
      </c>
      <c r="P60" s="146" t="s">
        <v>57</v>
      </c>
      <c r="Q60" s="146" t="s">
        <v>57</v>
      </c>
      <c r="R60" s="146" t="s">
        <v>57</v>
      </c>
    </row>
    <row r="61" spans="1:19" ht="16.5" thickTop="1" thickBot="1" x14ac:dyDescent="0.3">
      <c r="A61" s="8"/>
      <c r="B61" s="9"/>
      <c r="C61" s="1"/>
      <c r="D61" s="3" t="s">
        <v>100</v>
      </c>
      <c r="E61" s="87"/>
      <c r="F61" s="90" t="str">
        <f t="shared" ref="F61" si="4">O61</f>
        <v xml:space="preserve">*obligatorisk </v>
      </c>
      <c r="G61" s="221"/>
      <c r="J61" s="9"/>
      <c r="K61" s="8"/>
      <c r="N61" s="154">
        <f>IFERROR(IF(E61="",1,IF(E61=Innstillinger!$B$8,1,IF(E61/1&lt;1,2,0))),3)</f>
        <v>1</v>
      </c>
      <c r="O61" s="124" t="str">
        <f>IF(N61=1,$P$6,"")</f>
        <v xml:space="preserve">*obligatorisk </v>
      </c>
      <c r="P61" s="146" t="s">
        <v>57</v>
      </c>
      <c r="Q61" s="146" t="s">
        <v>57</v>
      </c>
      <c r="R61" s="146" t="s">
        <v>57</v>
      </c>
      <c r="S61" s="121"/>
    </row>
    <row r="62" spans="1:19" ht="15.75" thickTop="1" x14ac:dyDescent="0.25">
      <c r="A62" s="8"/>
      <c r="B62" s="9"/>
      <c r="C62" s="1"/>
      <c r="D62" s="3"/>
      <c r="E62" s="3"/>
      <c r="F62" s="149"/>
      <c r="G62" s="144"/>
      <c r="H62" s="144"/>
      <c r="I62" s="144"/>
      <c r="J62" s="9"/>
      <c r="K62" s="8"/>
      <c r="N62" s="47"/>
      <c r="P62" s="147"/>
      <c r="Q62" s="147"/>
      <c r="R62" s="147"/>
      <c r="S62" s="121"/>
    </row>
    <row r="63" spans="1:19" ht="16.5" customHeight="1" thickBot="1" x14ac:dyDescent="0.35">
      <c r="A63" s="8"/>
      <c r="B63" s="9"/>
      <c r="C63" s="67"/>
      <c r="D63" s="3" t="s">
        <v>101</v>
      </c>
      <c r="E63" s="86"/>
      <c r="F63" s="148" t="str">
        <f t="shared" ref="F63:F65" si="5">O63</f>
        <v xml:space="preserve">*obligatorisk </v>
      </c>
      <c r="G63" s="163"/>
      <c r="H63" s="163"/>
      <c r="I63" s="67"/>
      <c r="J63" s="9"/>
      <c r="K63" s="8"/>
      <c r="N63" s="154">
        <f>IFERROR(IF(E63="",1,IF(E63=Innstillinger!$B$8,1,IF(AND(E63&lt;&gt;Innstillinger!$B$9,E63&lt;&gt;Innstillinger!$B$10),2,0))),3)</f>
        <v>1</v>
      </c>
      <c r="O63" s="124" t="str">
        <f>IF(N63=1,$P$6,"")</f>
        <v xml:space="preserve">*obligatorisk </v>
      </c>
      <c r="P63" s="146" t="s">
        <v>57</v>
      </c>
      <c r="Q63" s="146" t="s">
        <v>57</v>
      </c>
      <c r="R63" s="146" t="s">
        <v>57</v>
      </c>
    </row>
    <row r="64" spans="1:19" ht="17.25" thickTop="1" thickBot="1" x14ac:dyDescent="0.35">
      <c r="A64" s="8"/>
      <c r="B64" s="9"/>
      <c r="C64" s="67"/>
      <c r="D64" s="3" t="s">
        <v>103</v>
      </c>
      <c r="E64" s="87"/>
      <c r="F64" s="148" t="str">
        <f t="shared" si="5"/>
        <v xml:space="preserve">*obligatorisk </v>
      </c>
      <c r="G64" s="163"/>
      <c r="H64" s="163"/>
      <c r="I64" s="67"/>
      <c r="J64" s="9"/>
      <c r="K64" s="8"/>
      <c r="N64" s="154">
        <f>IFERROR(IF(E64="",1,IF(E64=Innstillinger!$B$8,1,IF(AND(E64&lt;38,E64&gt;45),2,0))),3)</f>
        <v>1</v>
      </c>
      <c r="O64" s="124" t="str">
        <f>IF(N64=1,$P$6,"")</f>
        <v xml:space="preserve">*obligatorisk </v>
      </c>
      <c r="P64" s="146" t="s">
        <v>57</v>
      </c>
      <c r="Q64" s="146" t="s">
        <v>57</v>
      </c>
      <c r="R64" s="146" t="s">
        <v>57</v>
      </c>
    </row>
    <row r="65" spans="1:19" ht="17.25" thickTop="1" thickBot="1" x14ac:dyDescent="0.35">
      <c r="A65" s="8"/>
      <c r="B65" s="9"/>
      <c r="C65" s="67"/>
      <c r="D65" s="3" t="s">
        <v>104</v>
      </c>
      <c r="E65" s="85"/>
      <c r="F65" s="148" t="str">
        <f t="shared" si="5"/>
        <v xml:space="preserve">*obligatorisk </v>
      </c>
      <c r="G65" s="68"/>
      <c r="H65" s="156"/>
      <c r="I65" s="67"/>
      <c r="J65" s="9"/>
      <c r="K65" s="8"/>
      <c r="M65" s="154">
        <f>IFERROR(VLOOKUP(E65,Innstillinger!$B$14:$C$19,2,FALSE),0)</f>
        <v>0</v>
      </c>
      <c r="N65" s="154">
        <f>IFERROR(IF(E65="",1,IF(E65=Innstillinger!$B$8,1,IF(M65/1&lt;1,2,0))),3)</f>
        <v>1</v>
      </c>
      <c r="O65" s="124" t="str">
        <f>IF(N65=1,$P$6,"")</f>
        <v xml:space="preserve">*obligatorisk </v>
      </c>
      <c r="P65" s="146" t="s">
        <v>57</v>
      </c>
      <c r="Q65" s="146" t="s">
        <v>57</v>
      </c>
      <c r="R65" s="146" t="s">
        <v>57</v>
      </c>
    </row>
    <row r="66" spans="1:19" ht="17.25" customHeight="1" thickTop="1" thickBot="1" x14ac:dyDescent="0.35">
      <c r="A66" s="8"/>
      <c r="B66" s="9"/>
      <c r="C66" s="67"/>
      <c r="D66" s="89" t="s">
        <v>106</v>
      </c>
      <c r="E66" s="214"/>
      <c r="F66" s="90" t="str">
        <f>O66</f>
        <v/>
      </c>
      <c r="G66" s="231"/>
      <c r="H66" s="231"/>
      <c r="I66" s="67"/>
      <c r="J66" s="9"/>
      <c r="K66" s="8"/>
      <c r="N66" s="154">
        <f>IF(AND(M65=0,E65=Innstillinger!$B$19),1,0)</f>
        <v>0</v>
      </c>
      <c r="O66" s="124" t="str">
        <f>IF(N66=1,P66,"")</f>
        <v/>
      </c>
      <c r="P66" s="170" t="s">
        <v>107</v>
      </c>
      <c r="Q66" s="146" t="s">
        <v>57</v>
      </c>
      <c r="R66" s="146" t="s">
        <v>57</v>
      </c>
    </row>
    <row r="67" spans="1:19" ht="15.75" thickTop="1" x14ac:dyDescent="0.25">
      <c r="A67" s="8"/>
      <c r="B67" s="9"/>
      <c r="C67" s="1"/>
      <c r="D67" s="3"/>
      <c r="E67" s="3"/>
      <c r="F67" s="261" t="str">
        <f>O69</f>
        <v xml:space="preserve">*obligatorisk </v>
      </c>
      <c r="G67" s="261"/>
      <c r="H67" s="261"/>
      <c r="I67" s="1"/>
      <c r="J67" s="9"/>
      <c r="K67" s="8"/>
      <c r="N67" s="154">
        <f>N69</f>
        <v>1</v>
      </c>
      <c r="O67" s="47"/>
      <c r="P67" s="136"/>
    </row>
    <row r="68" spans="1:19" ht="15.75" customHeight="1" x14ac:dyDescent="0.25">
      <c r="A68" s="8"/>
      <c r="B68" s="9"/>
      <c r="C68" s="1"/>
      <c r="D68" s="3"/>
      <c r="E68" s="3"/>
      <c r="F68" s="261"/>
      <c r="G68" s="261"/>
      <c r="H68" s="261"/>
      <c r="I68" s="1"/>
      <c r="J68" s="9"/>
      <c r="K68" s="8"/>
      <c r="N68" s="47"/>
      <c r="O68" s="47"/>
      <c r="P68" s="136"/>
    </row>
    <row r="69" spans="1:19" ht="15.75" thickBot="1" x14ac:dyDescent="0.3">
      <c r="A69" s="8"/>
      <c r="B69" s="9"/>
      <c r="C69" s="1"/>
      <c r="D69" s="3" t="s">
        <v>81</v>
      </c>
      <c r="E69" s="132"/>
      <c r="F69" s="261"/>
      <c r="G69" s="261"/>
      <c r="H69" s="261"/>
      <c r="I69" s="1"/>
      <c r="J69" s="9"/>
      <c r="K69" s="8"/>
      <c r="M69" s="155"/>
      <c r="N69" s="154">
        <f>IFERROR(IF(E69="",1,IF(E69=Innstillinger!$B$8,1,IF(E69/1&lt;0,2,0))),3)</f>
        <v>1</v>
      </c>
      <c r="O69" s="124" t="str">
        <f>IF(N69=1,$P$6,IF(E81="","",IF(E81&gt;$P$3,P69,"")))</f>
        <v xml:space="preserve">*obligatorisk </v>
      </c>
      <c r="P69" s="168" t="str">
        <f>"⚠️Årslønnen dere oppgir, utgjør en høy timesats for en ansatt med undervisningstid. Timesats over "&amp;$P$3&amp;" kroner, inkludert sosiale utgifter, må dokumenteres. Vi ber dere derfor legge ved underbilag som dokumenterer den ansattes årslønn."</f>
        <v>⚠️Årslønnen dere oppgir, utgjør en høy timesats for en ansatt med undervisningstid. Timesats over 1250 kroner, inkludert sosiale utgifter, må dokumenteres. Vi ber dere derfor legge ved underbilag som dokumenterer den ansattes årslønn.</v>
      </c>
      <c r="Q69" s="146"/>
      <c r="R69" s="146" t="s">
        <v>57</v>
      </c>
    </row>
    <row r="70" spans="1:19" ht="16.5" thickTop="1" thickBot="1" x14ac:dyDescent="0.3">
      <c r="A70" s="8"/>
      <c r="B70" s="9"/>
      <c r="C70" s="1"/>
      <c r="D70" s="3" t="s">
        <v>82</v>
      </c>
      <c r="E70" s="16"/>
      <c r="F70" s="90" t="str">
        <f t="shared" ref="F70:F72" si="6">O70</f>
        <v xml:space="preserve">*obligatorisk </v>
      </c>
      <c r="G70" s="222"/>
      <c r="H70" s="222"/>
      <c r="I70" s="1"/>
      <c r="J70" s="9"/>
      <c r="K70" s="8"/>
      <c r="N70" s="154">
        <f>IFERROR(IF(E70="",1,IF(E70=Innstillinger!$B$8,1,IF(AND(E70&lt;&gt;12%,E70&lt;&gt;14.3%),2,0))),3)</f>
        <v>1</v>
      </c>
      <c r="O70" s="124" t="str">
        <f>IF(N70=1,$P$6,"")</f>
        <v xml:space="preserve">*obligatorisk </v>
      </c>
      <c r="P70" s="146" t="s">
        <v>57</v>
      </c>
      <c r="Q70" s="146" t="s">
        <v>57</v>
      </c>
      <c r="R70" s="146" t="s">
        <v>57</v>
      </c>
    </row>
    <row r="71" spans="1:19" ht="16.5" thickTop="1" thickBot="1" x14ac:dyDescent="0.3">
      <c r="A71" s="8"/>
      <c r="B71" s="9"/>
      <c r="C71" s="1"/>
      <c r="D71" s="3" t="s">
        <v>83</v>
      </c>
      <c r="E71" s="17"/>
      <c r="F71" s="153" t="str">
        <f t="shared" si="6"/>
        <v xml:space="preserve">*obligatorisk </v>
      </c>
      <c r="G71" s="221"/>
      <c r="H71" s="223"/>
      <c r="I71" s="1"/>
      <c r="J71" s="9"/>
      <c r="K71" s="8"/>
      <c r="N71" s="154">
        <f>IFERROR(IF(E71="",1,IF(E71=Innstillinger!$B$8,1,IF(E71/1&lt;2%,2,0))),3)</f>
        <v>1</v>
      </c>
      <c r="O71" s="124" t="str">
        <f>IF(N71=1,$P$6,IF(E71&gt;$P$4,P71,""))</f>
        <v xml:space="preserve">*obligatorisk </v>
      </c>
      <c r="P71" s="168" t="str">
        <f>"⚠️Dere oppgir en høy pensjonssats - over "&amp;TEXT($P$4,"#%")&amp;". Forklar hvorfor, og vis utregning i kommentarfeltet nederst. "</f>
        <v xml:space="preserve">⚠️Dere oppgir en høy pensjonssats - over 10%. Forklar hvorfor, og vis utregning i kommentarfeltet nederst. </v>
      </c>
      <c r="Q71" s="146" t="s">
        <v>57</v>
      </c>
      <c r="R71" s="146" t="s">
        <v>57</v>
      </c>
    </row>
    <row r="72" spans="1:19" ht="15.75" thickTop="1" x14ac:dyDescent="0.25">
      <c r="A72" s="8"/>
      <c r="B72" s="9"/>
      <c r="C72" s="1"/>
      <c r="D72" s="60" t="s">
        <v>84</v>
      </c>
      <c r="E72" s="17"/>
      <c r="F72" s="90" t="str">
        <f t="shared" si="6"/>
        <v xml:space="preserve">*obligatorisk </v>
      </c>
      <c r="G72" s="223"/>
      <c r="H72" s="49"/>
      <c r="I72" s="1"/>
      <c r="J72" s="9"/>
      <c r="K72" s="8"/>
      <c r="N72" s="154">
        <f>IFERROR(IF(E72="",1,IF(E72=Innstillinger!$B$8,1,IF(E72/1&lt;0,2,0))),3)</f>
        <v>1</v>
      </c>
      <c r="O72" s="124" t="str">
        <f>IF(N72=1,$P$6,"")</f>
        <v xml:space="preserve">*obligatorisk </v>
      </c>
      <c r="P72" s="146" t="s">
        <v>57</v>
      </c>
      <c r="Q72" s="146" t="s">
        <v>57</v>
      </c>
      <c r="R72" s="146" t="s">
        <v>57</v>
      </c>
    </row>
    <row r="73" spans="1:19" x14ac:dyDescent="0.25">
      <c r="A73" s="8"/>
      <c r="B73" s="9"/>
      <c r="C73" s="1"/>
      <c r="D73" s="69" t="s">
        <v>85</v>
      </c>
      <c r="E73" s="14"/>
      <c r="F73" s="224" t="str">
        <f>O73</f>
        <v/>
      </c>
      <c r="G73" s="225"/>
      <c r="H73" s="225"/>
      <c r="I73" s="1"/>
      <c r="J73" s="9"/>
      <c r="K73" s="8"/>
      <c r="O73" s="124" t="str">
        <f>IF(N73=1,$P$6,"")</f>
        <v/>
      </c>
      <c r="P73" s="146" t="s">
        <v>57</v>
      </c>
      <c r="Q73" s="146" t="s">
        <v>57</v>
      </c>
      <c r="R73" s="146" t="s">
        <v>57</v>
      </c>
    </row>
    <row r="74" spans="1:19" x14ac:dyDescent="0.25">
      <c r="A74" s="8"/>
      <c r="B74" s="9"/>
      <c r="C74" s="1"/>
      <c r="D74" s="66"/>
      <c r="E74" s="14"/>
      <c r="F74" s="149"/>
      <c r="J74" s="9"/>
      <c r="K74" s="8"/>
      <c r="N74" s="47"/>
      <c r="O74" s="47"/>
      <c r="P74" s="136"/>
      <c r="R74" t="s">
        <v>57</v>
      </c>
      <c r="S74" s="121"/>
    </row>
    <row r="75" spans="1:19" ht="16.5" thickBot="1" x14ac:dyDescent="0.35">
      <c r="A75" s="8"/>
      <c r="B75" s="9"/>
      <c r="C75" s="67"/>
      <c r="D75" s="3" t="s">
        <v>109</v>
      </c>
      <c r="E75" s="87"/>
      <c r="F75" s="153" t="str">
        <f t="shared" ref="F75:F76" si="7">O75</f>
        <v xml:space="preserve">*obligatorisk </v>
      </c>
      <c r="I75" s="67"/>
      <c r="J75" s="9"/>
      <c r="K75" s="8"/>
      <c r="N75" s="154">
        <f>IFERROR(IF(E75="",1,IF(E75=Innstillinger!$B$8,1,IF(E75/1&lt;0,2,0))),3)</f>
        <v>1</v>
      </c>
      <c r="O75" s="124" t="str">
        <f>IF(E75="",$P$6,IF(E75=0,P75,""))</f>
        <v xml:space="preserve">*obligatorisk </v>
      </c>
      <c r="P75" s="168" t="s">
        <v>110</v>
      </c>
      <c r="Q75" s="146" t="s">
        <v>57</v>
      </c>
      <c r="R75" s="146" t="s">
        <v>57</v>
      </c>
      <c r="S75" s="114"/>
    </row>
    <row r="76" spans="1:19" ht="16.5" thickTop="1" thickBot="1" x14ac:dyDescent="0.3">
      <c r="A76" s="8"/>
      <c r="B76" s="9"/>
      <c r="C76" s="1"/>
      <c r="D76" s="3" t="s">
        <v>225</v>
      </c>
      <c r="E76" s="87"/>
      <c r="F76" s="265" t="str">
        <f t="shared" si="7"/>
        <v xml:space="preserve">*obligatorisk </v>
      </c>
      <c r="G76" s="265"/>
      <c r="H76" s="265"/>
      <c r="I76" s="144"/>
      <c r="J76" s="9"/>
      <c r="K76" s="8"/>
      <c r="M76" s="154">
        <f>IFERROR(VLOOKUP(E76,Innstillinger!B133:C136,2,FALSE),50)</f>
        <v>50</v>
      </c>
      <c r="N76" s="154">
        <f>IFERROR(IF(E76="",1,IF(E76=Innstillinger!$B$8,1,IF(AND(E75&gt;0,(E75-E76)/1&lt;0),0,0))),3)</f>
        <v>1</v>
      </c>
      <c r="O76" s="124" t="str">
        <f>IF(E76="",$P$6,IF(AND(E75&gt;0,(E75-E76)/1&lt;0),P76,""))</f>
        <v xml:space="preserve">*obligatorisk </v>
      </c>
      <c r="P76" s="168" t="str">
        <f>"⚠️Dere søker om flere timer ("&amp;ROUND(E76,0)&amp;" timer), enn det PPT tilråder ("&amp;ROUND(E75,0)&amp;" timer). Forklare i kommentarfeltet hvorfor dere søker på flere timer enn tilrådet."</f>
        <v>⚠️Dere søker om flere timer (0 timer), enn det PPT tilråder (0 timer). Forklare i kommentarfeltet hvorfor dere søker på flere timer enn tilrådet.</v>
      </c>
      <c r="Q76" s="146" t="s">
        <v>57</v>
      </c>
      <c r="R76" s="146" t="s">
        <v>57</v>
      </c>
      <c r="S76" s="121"/>
    </row>
    <row r="77" spans="1:19" ht="15.75" thickTop="1" x14ac:dyDescent="0.25">
      <c r="A77" s="8"/>
      <c r="B77" s="9"/>
      <c r="C77" s="1"/>
      <c r="D77" s="3"/>
      <c r="E77" s="14"/>
      <c r="F77" s="265"/>
      <c r="G77" s="265"/>
      <c r="H77" s="265"/>
      <c r="J77" s="9"/>
      <c r="K77" s="8"/>
    </row>
    <row r="78" spans="1:19" x14ac:dyDescent="0.25">
      <c r="A78" s="8"/>
      <c r="B78" s="9"/>
      <c r="C78" s="1"/>
      <c r="D78" s="3"/>
      <c r="E78" s="148"/>
      <c r="F78" s="160"/>
      <c r="J78" s="9"/>
      <c r="K78" s="8"/>
      <c r="N78" s="122" t="s">
        <v>87</v>
      </c>
      <c r="O78" s="122" t="s">
        <v>74</v>
      </c>
      <c r="P78" s="122" t="s">
        <v>75</v>
      </c>
      <c r="Q78" s="122" t="s">
        <v>76</v>
      </c>
      <c r="R78" s="122"/>
      <c r="S78" s="121"/>
    </row>
    <row r="79" spans="1:19" ht="15.75" thickBot="1" x14ac:dyDescent="0.3">
      <c r="A79" s="8"/>
      <c r="B79" s="9"/>
      <c r="C79" s="1"/>
      <c r="D79" s="3" t="s">
        <v>226</v>
      </c>
      <c r="E79" s="116" t="str">
        <f>IF(N79="skjul","",E76/VLOOKUP(E65,Innstillinger!$B$14:$C$19,2,FALSE))</f>
        <v/>
      </c>
      <c r="F79" s="213" t="str">
        <f>O79</f>
        <v/>
      </c>
      <c r="J79" s="9"/>
      <c r="K79" s="8"/>
      <c r="N79" s="123" t="str">
        <f>IF(N65+N67+N74+N69+N70+N71+N75+N76=0,"vis","skjul")</f>
        <v>skjul</v>
      </c>
      <c r="O79" s="124" t="str">
        <f>IF(AND(F88=TRUE,N79="vis"),Q79,"")</f>
        <v/>
      </c>
      <c r="P79" s="146" t="s">
        <v>57</v>
      </c>
      <c r="Q79" s="169" t="str">
        <f>"➡️ "&amp;TEXT(E79,"#%")&amp;" stilling  =  "&amp;E75&amp;" faktiske arbeidstimer/uke   ÷   "&amp;M74&amp;"  alminnelig arbeidstid/uke"</f>
        <v>➡️  stilling  =   faktiske arbeidstimer/uke   ÷     alminnelig arbeidstid/uke</v>
      </c>
      <c r="R79" s="146" t="s">
        <v>57</v>
      </c>
      <c r="S79" s="121"/>
    </row>
    <row r="80" spans="1:19" ht="16.5" thickTop="1" thickBot="1" x14ac:dyDescent="0.3">
      <c r="A80" s="8"/>
      <c r="B80" s="9"/>
      <c r="C80" s="1"/>
      <c r="D80" s="3" t="s">
        <v>227</v>
      </c>
      <c r="E80" s="133" t="str">
        <f>IF(N79="skjul","",IF(E63=Innstillinger!B56,'Lønn med undervisningstid'!E69*1500/'Lønn med undervisningstid'!M65/1687.5,E69*1400*100/M65/1687.5/112))</f>
        <v/>
      </c>
      <c r="F80" s="213" t="str">
        <f>O80</f>
        <v/>
      </c>
      <c r="G80" s="144"/>
      <c r="H80" s="144"/>
      <c r="I80" s="144"/>
      <c r="J80" s="9"/>
      <c r="K80" s="8"/>
      <c r="M80" s="175" t="e">
        <f>IF(E63=Innstillinger!B56,'Lønn med undervisningstid'!E69*1500/'Lønn med undervisningstid'!M65/1687.5,E69*1400*100/M65/1687.5/112)</f>
        <v>#DIV/0!</v>
      </c>
      <c r="N80" s="123" t="str">
        <f>N79</f>
        <v>skjul</v>
      </c>
      <c r="O80" s="124" t="str">
        <f>IF(AND(F88=TRUE,N80="vis"),IF(E63=Innstillinger!B56,P80,Q80),"")</f>
        <v/>
      </c>
      <c r="P80" s="169" t="str">
        <f>"➡️ "&amp;TEXT(E80,"# ##0,#0")&amp;" kroner per time  =  "&amp;TEXT(E69,"# ##0")&amp;" kroner årslønn x 1500 ÷  ("&amp;M65&amp;" årsramme x 1687,5), i Oslo kommune"</f>
        <v>➡️  kroner per time  =  0 kroner årslønn x 1500 ÷  (0 årsramme x 1687,5), i Oslo kommune</v>
      </c>
      <c r="Q80" s="169" t="str">
        <f>"➡️ "&amp;TEXT(E80,"# ##0,#0")&amp;" kroner per time  =  "&amp;TEXT(E69,"# ##0")&amp;" kroner årslønn x 1400 x 100 ÷  ("&amp;M65&amp;" årsramme x 1687,5 x 112), i KS-området"</f>
        <v>➡️  kroner per time  =  0 kroner årslønn x 1400 x 100 ÷  (0 årsramme x 1687,5 x 112), i KS-området</v>
      </c>
      <c r="R80" s="146" t="s">
        <v>57</v>
      </c>
      <c r="S80" s="121"/>
    </row>
    <row r="81" spans="1:19" ht="16.5" thickTop="1" thickBot="1" x14ac:dyDescent="0.3">
      <c r="A81" s="8"/>
      <c r="B81" s="9"/>
      <c r="C81" s="1"/>
      <c r="D81" s="3" t="s">
        <v>228</v>
      </c>
      <c r="E81" s="115" t="str">
        <f>IF(N81="skjul","",(E80*(1+E70+E71+(E70*E71))*(1+E72)))</f>
        <v/>
      </c>
      <c r="F81" s="213" t="str">
        <f>O81</f>
        <v/>
      </c>
      <c r="G81" s="120"/>
      <c r="H81" s="120"/>
      <c r="I81" s="120"/>
      <c r="J81" s="9"/>
      <c r="K81" s="8"/>
      <c r="M81" s="5"/>
      <c r="N81" s="123" t="str">
        <f>N80</f>
        <v>skjul</v>
      </c>
      <c r="O81" s="124" t="str">
        <f>IF(AND(F88=TRUE,N81="vis"),Q81,"")</f>
        <v/>
      </c>
      <c r="P81" s="146" t="s">
        <v>57</v>
      </c>
      <c r="Q81" s="169" t="str">
        <f>"➡️ "&amp;TEXT(E81,"# ##0,##")&amp;" kroner per time  =  "&amp;TEXT(E80,"# ##0,##")&amp;" timelønn  x  sosiale utgifter"</f>
        <v>➡️  kroner per time  =   timelønn  x  sosiale utgifter</v>
      </c>
      <c r="R81" s="146" t="s">
        <v>57</v>
      </c>
      <c r="S81" s="121"/>
    </row>
    <row r="82" spans="1:19" ht="15.75" thickTop="1" x14ac:dyDescent="0.25">
      <c r="A82" s="8"/>
      <c r="B82" s="9"/>
      <c r="C82" s="1"/>
      <c r="D82" s="3"/>
      <c r="E82" s="4"/>
      <c r="F82" s="159"/>
      <c r="J82" s="9"/>
      <c r="K82" s="8"/>
      <c r="M82" s="5"/>
      <c r="P82" s="136"/>
      <c r="Q82" s="136"/>
      <c r="R82" s="136" t="s">
        <v>57</v>
      </c>
      <c r="S82" s="121"/>
    </row>
    <row r="83" spans="1:19" ht="15.75" thickBot="1" x14ac:dyDescent="0.3">
      <c r="A83" s="8"/>
      <c r="B83" s="9"/>
      <c r="C83" s="1"/>
      <c r="D83" s="3" t="s">
        <v>89</v>
      </c>
      <c r="E83" s="35" t="str">
        <f>IF(N83="skjul","",E80*E76)</f>
        <v/>
      </c>
      <c r="F83" s="213" t="str">
        <f>O83</f>
        <v/>
      </c>
      <c r="G83" s="60"/>
      <c r="H83" s="60"/>
      <c r="I83" s="1"/>
      <c r="J83" s="9"/>
      <c r="K83" s="8"/>
      <c r="L83" s="144"/>
      <c r="N83" s="123" t="str">
        <f>N79</f>
        <v>skjul</v>
      </c>
      <c r="O83" s="124" t="str">
        <f>IF(AND(F88=TRUE,N83="vis"),Q83,"")</f>
        <v/>
      </c>
      <c r="P83" s="146" t="s">
        <v>57</v>
      </c>
      <c r="Q83" s="169" t="str">
        <f>"➡️ "&amp;TEXT(E83,"# ##0")&amp;" kroner lønn uten feriepenger  =  "&amp;TEXT(E80,"#,##")&amp;" timelønn  x  "&amp;E75&amp;" timer per uke   x   "&amp;E76&amp;" uker"</f>
        <v>➡️  kroner lønn uten feriepenger  =   timelønn  x   timer per uke   x    uker</v>
      </c>
      <c r="R83" s="146" t="s">
        <v>57</v>
      </c>
    </row>
    <row r="84" spans="1:19" ht="16.5" thickTop="1" thickBot="1" x14ac:dyDescent="0.3">
      <c r="A84" s="8"/>
      <c r="B84" s="9"/>
      <c r="C84" s="1"/>
      <c r="D84" s="3" t="s">
        <v>30</v>
      </c>
      <c r="E84" s="36" t="str">
        <f>IF(N83="skjul","",(E83)*E70)</f>
        <v/>
      </c>
      <c r="F84" s="213" t="str">
        <f>O84</f>
        <v/>
      </c>
      <c r="G84" s="60"/>
      <c r="H84" s="60"/>
      <c r="I84" s="1"/>
      <c r="J84" s="9"/>
      <c r="K84" s="8"/>
      <c r="L84" s="144"/>
      <c r="N84" s="123" t="str">
        <f>N79</f>
        <v>skjul</v>
      </c>
      <c r="O84" s="124" t="str">
        <f>IF(AND(F88=TRUE,N84="vis"),Q84,"")</f>
        <v/>
      </c>
      <c r="P84" s="146" t="s">
        <v>57</v>
      </c>
      <c r="Q84" s="169" t="str">
        <f>"➡️ "&amp;TEXT(E84,"# ##0")&amp;" kroner lønn uten feriepenger  =  "&amp;TEXT(E83,"# ##0")&amp;" lønn  x  "&amp;TEXT(E69,"#,0 %")&amp;" feriepenger sats"</f>
        <v>➡️  kroner lønn uten feriepenger  =   lønn  x  ,0 % feriepenger sats</v>
      </c>
      <c r="R84" s="146" t="s">
        <v>57</v>
      </c>
    </row>
    <row r="85" spans="1:19" ht="16.5" thickTop="1" thickBot="1" x14ac:dyDescent="0.3">
      <c r="A85" s="8"/>
      <c r="B85" s="9"/>
      <c r="C85" s="1"/>
      <c r="D85" s="3" t="s">
        <v>90</v>
      </c>
      <c r="E85" s="36" t="str">
        <f>IF(N83="skjul","",(E83+E84)*E71)</f>
        <v/>
      </c>
      <c r="F85" s="213" t="str">
        <f>O85</f>
        <v/>
      </c>
      <c r="G85" s="60"/>
      <c r="H85" s="60"/>
      <c r="I85" s="1"/>
      <c r="J85" s="9"/>
      <c r="K85" s="8"/>
      <c r="L85" s="144"/>
      <c r="M85" s="144"/>
      <c r="N85" s="123" t="str">
        <f>N79</f>
        <v>skjul</v>
      </c>
      <c r="O85" s="124" t="str">
        <f>IF(AND(F88=TRUE,N85="vis"),Q85,"")</f>
        <v/>
      </c>
      <c r="P85" s="146" t="s">
        <v>57</v>
      </c>
      <c r="Q85" s="169" t="str">
        <f>"➡️ "&amp;TEXT(E85,"# ##0")&amp;" kroner pensjon  =  ("&amp;TEXT(E83,"# ##0")&amp;" lønn + "&amp;TEXT(E84,"# ##0")&amp;" feriepenger)  x  "&amp;TEXT(E70,"#,0 %")&amp;" pensjon sats"</f>
        <v>➡️  kroner pensjon  =  ( lønn +  feriepenger)  x  ,0 % pensjon sats</v>
      </c>
      <c r="R85" s="146" t="s">
        <v>57</v>
      </c>
    </row>
    <row r="86" spans="1:19" ht="16.5" customHeight="1" thickTop="1" x14ac:dyDescent="0.25">
      <c r="A86" s="8"/>
      <c r="B86" s="9"/>
      <c r="C86" s="1"/>
      <c r="D86" s="3" t="s">
        <v>22</v>
      </c>
      <c r="E86" s="37" t="str">
        <f>IF(N83="skjul","",(E83+E84+E85)*E72)</f>
        <v/>
      </c>
      <c r="F86" s="213" t="str">
        <f>O86</f>
        <v/>
      </c>
      <c r="G86" s="60"/>
      <c r="H86" s="60"/>
      <c r="I86" s="1"/>
      <c r="J86" s="9"/>
      <c r="K86" s="8"/>
      <c r="L86" s="144"/>
      <c r="N86" s="123" t="str">
        <f>N79</f>
        <v>skjul</v>
      </c>
      <c r="O86" s="124" t="str">
        <f>IF(AND(F88=TRUE,N86="vis"),Q86,"")</f>
        <v/>
      </c>
      <c r="P86" s="146" t="s">
        <v>57</v>
      </c>
      <c r="Q86" s="169" t="str">
        <f>"➡️ "&amp;TEXT(E86,"# ##0")&amp;" kroner arbeidsgiveravgift =  ("&amp;TEXT(E83,"# ##0")&amp;" lønn + "&amp;TEXT(E84,"# ##0")&amp;" feriepenger + "&amp;TEXT(E85,"# ##0")&amp;" pensjon)  x  "&amp;TEXT(E71,"#,0 %")&amp;" aga sats"</f>
        <v>➡️  kroner arbeidsgiveravgift =  ( lønn +  feriepenger +  pensjon)  x  ,0 % aga sats</v>
      </c>
      <c r="R86" s="146" t="s">
        <v>57</v>
      </c>
    </row>
    <row r="87" spans="1:19" ht="6" customHeight="1" x14ac:dyDescent="0.25">
      <c r="A87" s="8"/>
      <c r="B87" s="9"/>
      <c r="C87" s="1"/>
      <c r="D87" s="3"/>
      <c r="E87" s="4"/>
      <c r="F87" s="185"/>
      <c r="G87" s="60"/>
      <c r="H87" s="60"/>
      <c r="I87" s="1"/>
      <c r="J87" s="9"/>
      <c r="K87" s="8"/>
      <c r="N87" s="47"/>
    </row>
    <row r="88" spans="1:19" ht="18.75" customHeight="1" x14ac:dyDescent="0.3">
      <c r="A88" s="8"/>
      <c r="B88" s="10"/>
      <c r="C88" s="11"/>
      <c r="D88" s="12" t="s">
        <v>92</v>
      </c>
      <c r="E88" s="13" t="str">
        <f>IFERROR(E83+E84+E85+E86,"")</f>
        <v/>
      </c>
      <c r="F88" s="241" t="b">
        <v>0</v>
      </c>
      <c r="G88" s="182" t="s">
        <v>93</v>
      </c>
      <c r="I88" s="11"/>
      <c r="J88" s="10"/>
      <c r="K88" s="8"/>
      <c r="L88" s="5"/>
      <c r="N88" s="123" t="str">
        <f>N79</f>
        <v>skjul</v>
      </c>
      <c r="O88" s="124"/>
      <c r="P88" s="146" t="s">
        <v>57</v>
      </c>
      <c r="Q88" s="169"/>
      <c r="R88" s="146" t="s">
        <v>57</v>
      </c>
    </row>
    <row r="89" spans="1:19" s="11" customFormat="1" ht="19.5" customHeight="1" x14ac:dyDescent="0.25">
      <c r="A89" s="8"/>
      <c r="B89" s="10"/>
      <c r="C89" s="98"/>
      <c r="D89" s="137" t="s">
        <v>91</v>
      </c>
      <c r="E89" s="138" t="str">
        <f>IFERROR(E88/E61,"")</f>
        <v/>
      </c>
      <c r="F89" s="213"/>
      <c r="G89" s="186"/>
      <c r="H89" s="186"/>
      <c r="I89" s="98"/>
      <c r="J89" s="10"/>
      <c r="K89" s="8"/>
      <c r="L89" s="226"/>
      <c r="N89" s="123" t="str">
        <f>N79</f>
        <v>skjul</v>
      </c>
      <c r="O89" s="124" t="str">
        <f>IF(AND(F88=TRUE,N89="vis"),Q89,"")</f>
        <v/>
      </c>
      <c r="P89" s="146" t="s">
        <v>57</v>
      </c>
      <c r="Q89" s="169" t="str">
        <f>"➡️ "&amp;TEXT(E89,"# ##0")&amp;" kroner totale =  "&amp;TEXT(E83,"# ##0")&amp;" lønn + "&amp;TEXT(E84,"# ##0")&amp;" fp + "&amp;TEXT(E85,"# ##0")&amp;" pensjon + "&amp;TEXT(E86,"# ##0")&amp;" arbeidsgiveravgift"</f>
        <v>➡️  kroner totale =   lønn +  fp +  pensjon +  arbeidsgiveravgift</v>
      </c>
      <c r="R89" s="146" t="s">
        <v>57</v>
      </c>
    </row>
    <row r="90" spans="1:19" x14ac:dyDescent="0.25">
      <c r="A90" s="8"/>
      <c r="B90" s="9"/>
      <c r="E90" s="5"/>
      <c r="F90" s="117"/>
      <c r="J90" s="9"/>
      <c r="K90" s="8"/>
      <c r="S90" s="121"/>
    </row>
    <row r="91" spans="1:19" x14ac:dyDescent="0.25">
      <c r="A91" s="8"/>
      <c r="B91" s="9"/>
      <c r="E91" s="5"/>
      <c r="F91" s="117"/>
      <c r="J91" s="9"/>
      <c r="K91" s="8"/>
      <c r="S91" s="121"/>
    </row>
    <row r="92" spans="1:19" x14ac:dyDescent="0.25">
      <c r="A92" s="8"/>
      <c r="B92" s="9"/>
      <c r="D92" s="3" t="s">
        <v>94</v>
      </c>
      <c r="E92" s="5"/>
      <c r="F92" s="117"/>
      <c r="J92" s="9"/>
      <c r="K92" s="8"/>
      <c r="S92" s="121"/>
    </row>
    <row r="93" spans="1:19" x14ac:dyDescent="0.25">
      <c r="A93" s="8"/>
      <c r="B93" s="9"/>
      <c r="D93" s="258"/>
      <c r="E93" s="259"/>
      <c r="F93" s="259"/>
      <c r="G93" s="259"/>
      <c r="H93" s="260"/>
      <c r="I93" s="162"/>
      <c r="J93" s="9"/>
      <c r="K93" s="8"/>
    </row>
    <row r="94" spans="1:19" x14ac:dyDescent="0.25">
      <c r="A94" s="8"/>
      <c r="B94" s="9"/>
      <c r="D94" s="252"/>
      <c r="E94" s="253"/>
      <c r="F94" s="253"/>
      <c r="G94" s="253"/>
      <c r="H94" s="254"/>
      <c r="I94" s="162"/>
      <c r="J94" s="9"/>
      <c r="K94" s="8"/>
    </row>
    <row r="95" spans="1:19" x14ac:dyDescent="0.25">
      <c r="A95" s="8"/>
      <c r="B95" s="9"/>
      <c r="D95" s="252"/>
      <c r="E95" s="253"/>
      <c r="F95" s="253"/>
      <c r="G95" s="253"/>
      <c r="H95" s="254"/>
      <c r="I95" s="162"/>
      <c r="J95" s="9"/>
      <c r="K95" s="8"/>
    </row>
    <row r="96" spans="1:19" x14ac:dyDescent="0.25">
      <c r="A96" s="8"/>
      <c r="B96" s="9"/>
      <c r="D96" s="252"/>
      <c r="E96" s="253"/>
      <c r="F96" s="253"/>
      <c r="G96" s="253"/>
      <c r="H96" s="254"/>
      <c r="I96" s="162"/>
      <c r="J96" s="9"/>
      <c r="K96" s="8"/>
    </row>
    <row r="97" spans="1:19" x14ac:dyDescent="0.25">
      <c r="A97" s="8"/>
      <c r="B97" s="9"/>
      <c r="D97" s="252"/>
      <c r="E97" s="253"/>
      <c r="F97" s="253"/>
      <c r="G97" s="253"/>
      <c r="H97" s="254"/>
      <c r="I97" s="162"/>
      <c r="J97" s="9"/>
      <c r="K97" s="8"/>
    </row>
    <row r="98" spans="1:19" x14ac:dyDescent="0.25">
      <c r="A98" s="8"/>
      <c r="B98" s="9"/>
      <c r="D98" s="255"/>
      <c r="E98" s="256"/>
      <c r="F98" s="256"/>
      <c r="G98" s="256"/>
      <c r="H98" s="257"/>
      <c r="I98" s="162"/>
      <c r="J98" s="9"/>
      <c r="K98" s="8"/>
    </row>
    <row r="99" spans="1:19" x14ac:dyDescent="0.25">
      <c r="A99" s="8"/>
      <c r="B99" s="9"/>
      <c r="E99" s="5"/>
      <c r="F99" s="117"/>
      <c r="J99" s="9"/>
      <c r="K99" s="8"/>
    </row>
    <row r="100" spans="1:19" x14ac:dyDescent="0.25">
      <c r="A100" s="8"/>
      <c r="B100" s="9"/>
      <c r="C100" s="9"/>
      <c r="D100" s="9"/>
      <c r="E100" s="9"/>
      <c r="F100" s="92"/>
      <c r="G100" s="9"/>
      <c r="H100" s="9"/>
      <c r="I100" s="9"/>
      <c r="J100" s="9"/>
      <c r="K100" s="8"/>
    </row>
    <row r="101" spans="1:19" x14ac:dyDescent="0.25">
      <c r="A101" s="8"/>
      <c r="B101" s="9"/>
      <c r="C101" s="9"/>
      <c r="D101" s="9"/>
      <c r="E101" s="9"/>
      <c r="F101" s="92"/>
      <c r="G101" s="9"/>
      <c r="H101" s="9"/>
      <c r="I101" s="9"/>
      <c r="J101" s="9"/>
      <c r="K101" s="8"/>
    </row>
    <row r="102" spans="1:19" ht="6" customHeight="1" x14ac:dyDescent="0.25">
      <c r="A102" s="8"/>
      <c r="B102" s="8"/>
      <c r="C102" s="8"/>
      <c r="D102" s="8"/>
      <c r="E102" s="8"/>
      <c r="F102" s="91"/>
      <c r="G102" s="8"/>
      <c r="H102" s="8"/>
      <c r="I102" s="8"/>
      <c r="J102" s="8"/>
      <c r="K102" s="8"/>
    </row>
    <row r="103" spans="1:19" x14ac:dyDescent="0.25">
      <c r="A103" s="8"/>
      <c r="B103" s="9"/>
      <c r="C103" s="1"/>
      <c r="D103" s="1"/>
      <c r="E103" s="1"/>
      <c r="F103" s="95"/>
      <c r="G103" s="1"/>
      <c r="H103" s="1"/>
      <c r="I103" s="1"/>
      <c r="J103" s="9"/>
      <c r="K103" s="8"/>
      <c r="M103">
        <v>1</v>
      </c>
      <c r="N103" s="122" t="s">
        <v>73</v>
      </c>
      <c r="O103" s="122" t="s">
        <v>74</v>
      </c>
      <c r="P103" s="122" t="s">
        <v>75</v>
      </c>
      <c r="Q103" s="122" t="s">
        <v>76</v>
      </c>
      <c r="R103" s="122" t="s">
        <v>57</v>
      </c>
    </row>
    <row r="104" spans="1:19" ht="26.25" x14ac:dyDescent="0.4">
      <c r="A104" s="8"/>
      <c r="B104" s="9"/>
      <c r="C104" s="1"/>
      <c r="D104" s="227" t="s">
        <v>232</v>
      </c>
      <c r="E104" s="1"/>
      <c r="F104" s="95"/>
      <c r="G104" s="1"/>
      <c r="H104" s="1"/>
      <c r="I104" s="1"/>
      <c r="J104" s="9"/>
      <c r="K104" s="8"/>
      <c r="N104" s="122"/>
      <c r="O104" s="122"/>
      <c r="P104" s="122"/>
      <c r="Q104" s="122"/>
      <c r="R104" s="122"/>
    </row>
    <row r="105" spans="1:19" ht="15.75" thickBot="1" x14ac:dyDescent="0.3">
      <c r="A105" s="8"/>
      <c r="B105" s="9"/>
      <c r="C105" s="1"/>
      <c r="D105" s="3" t="s">
        <v>78</v>
      </c>
      <c r="E105" s="135"/>
      <c r="F105" s="90" t="str">
        <f>O105</f>
        <v xml:space="preserve">*obligatorisk </v>
      </c>
      <c r="G105" s="221"/>
      <c r="H105" s="221"/>
      <c r="I105" s="1"/>
      <c r="J105" s="9"/>
      <c r="K105" s="8"/>
      <c r="N105" s="154">
        <f>IF(E105="",1,0)</f>
        <v>1</v>
      </c>
      <c r="O105" s="124" t="str">
        <f>IF(N105=1,$P$6,"")</f>
        <v xml:space="preserve">*obligatorisk </v>
      </c>
      <c r="P105" s="146" t="s">
        <v>57</v>
      </c>
      <c r="Q105" s="146" t="s">
        <v>57</v>
      </c>
      <c r="R105" s="146" t="s">
        <v>57</v>
      </c>
    </row>
    <row r="106" spans="1:19" ht="16.5" thickTop="1" thickBot="1" x14ac:dyDescent="0.3">
      <c r="A106" s="8"/>
      <c r="B106" s="9"/>
      <c r="C106" s="1"/>
      <c r="D106" s="3" t="s">
        <v>79</v>
      </c>
      <c r="E106" s="135"/>
      <c r="F106" s="90" t="str">
        <f>O106</f>
        <v xml:space="preserve">*obligatorisk </v>
      </c>
      <c r="G106" s="221"/>
      <c r="H106" s="221"/>
      <c r="I106" s="1"/>
      <c r="J106" s="9"/>
      <c r="K106" s="8"/>
      <c r="N106" s="154">
        <f>IF(E106="",1,0)</f>
        <v>1</v>
      </c>
      <c r="O106" s="124" t="str">
        <f>IF(N106=1,$P$6,"")</f>
        <v xml:space="preserve">*obligatorisk </v>
      </c>
      <c r="P106" s="146" t="s">
        <v>57</v>
      </c>
      <c r="Q106" s="146" t="s">
        <v>57</v>
      </c>
      <c r="R106" s="146" t="s">
        <v>57</v>
      </c>
    </row>
    <row r="107" spans="1:19" ht="16.5" thickTop="1" thickBot="1" x14ac:dyDescent="0.3">
      <c r="A107" s="8"/>
      <c r="B107" s="9"/>
      <c r="C107" s="1"/>
      <c r="D107" s="3" t="s">
        <v>100</v>
      </c>
      <c r="E107" s="87"/>
      <c r="F107" s="90" t="str">
        <f t="shared" ref="F107" si="8">O107</f>
        <v xml:space="preserve">*obligatorisk </v>
      </c>
      <c r="G107" s="221"/>
      <c r="J107" s="9"/>
      <c r="K107" s="8"/>
      <c r="N107" s="154">
        <f>IFERROR(IF(E107="",1,IF(E107=Innstillinger!$B$8,1,IF(E107/1&lt;1,2,0))),3)</f>
        <v>1</v>
      </c>
      <c r="O107" s="124" t="str">
        <f>IF(N107=1,$P$6,"")</f>
        <v xml:space="preserve">*obligatorisk </v>
      </c>
      <c r="P107" s="146" t="s">
        <v>57</v>
      </c>
      <c r="Q107" s="146" t="s">
        <v>57</v>
      </c>
      <c r="R107" s="146" t="s">
        <v>57</v>
      </c>
      <c r="S107" s="121"/>
    </row>
    <row r="108" spans="1:19" ht="15.75" thickTop="1" x14ac:dyDescent="0.25">
      <c r="A108" s="8"/>
      <c r="B108" s="9"/>
      <c r="C108" s="1"/>
      <c r="D108" s="3"/>
      <c r="E108" s="3"/>
      <c r="F108" s="149"/>
      <c r="G108" s="144"/>
      <c r="H108" s="144"/>
      <c r="I108" s="144"/>
      <c r="J108" s="9"/>
      <c r="K108" s="8"/>
      <c r="N108" s="47"/>
      <c r="P108" s="147"/>
      <c r="Q108" s="147"/>
      <c r="R108" s="147"/>
      <c r="S108" s="121"/>
    </row>
    <row r="109" spans="1:19" ht="16.5" customHeight="1" thickBot="1" x14ac:dyDescent="0.35">
      <c r="A109" s="8"/>
      <c r="B109" s="9"/>
      <c r="C109" s="67"/>
      <c r="D109" s="3" t="s">
        <v>101</v>
      </c>
      <c r="E109" s="86"/>
      <c r="F109" s="148" t="str">
        <f t="shared" ref="F109:F111" si="9">O109</f>
        <v xml:space="preserve">*obligatorisk </v>
      </c>
      <c r="G109" s="163"/>
      <c r="H109" s="163"/>
      <c r="I109" s="67"/>
      <c r="J109" s="9"/>
      <c r="K109" s="8"/>
      <c r="N109" s="154">
        <f>IFERROR(IF(E109="",1,IF(E109=Innstillinger!$B$8,1,IF(AND(E109&lt;&gt;Innstillinger!$B$9,E109&lt;&gt;Innstillinger!$B$10),2,0))),3)</f>
        <v>1</v>
      </c>
      <c r="O109" s="124" t="str">
        <f>IF(N109=1,$P$6,"")</f>
        <v xml:space="preserve">*obligatorisk </v>
      </c>
      <c r="P109" s="146" t="s">
        <v>57</v>
      </c>
      <c r="Q109" s="146" t="s">
        <v>57</v>
      </c>
      <c r="R109" s="146" t="s">
        <v>57</v>
      </c>
    </row>
    <row r="110" spans="1:19" ht="17.25" thickTop="1" thickBot="1" x14ac:dyDescent="0.35">
      <c r="A110" s="8"/>
      <c r="B110" s="9"/>
      <c r="C110" s="67"/>
      <c r="D110" s="3" t="s">
        <v>103</v>
      </c>
      <c r="E110" s="87"/>
      <c r="F110" s="148" t="str">
        <f t="shared" si="9"/>
        <v xml:space="preserve">*obligatorisk </v>
      </c>
      <c r="G110" s="163"/>
      <c r="H110" s="163"/>
      <c r="I110" s="67"/>
      <c r="J110" s="9"/>
      <c r="K110" s="8"/>
      <c r="N110" s="154">
        <f>IFERROR(IF(E110="",1,IF(E110=Innstillinger!$B$8,1,IF(AND(E110&lt;38,E110&gt;45),2,0))),3)</f>
        <v>1</v>
      </c>
      <c r="O110" s="124" t="str">
        <f>IF(N110=1,$P$6,"")</f>
        <v xml:space="preserve">*obligatorisk </v>
      </c>
      <c r="P110" s="146" t="s">
        <v>57</v>
      </c>
      <c r="Q110" s="146" t="s">
        <v>57</v>
      </c>
      <c r="R110" s="146" t="s">
        <v>57</v>
      </c>
    </row>
    <row r="111" spans="1:19" ht="17.25" thickTop="1" thickBot="1" x14ac:dyDescent="0.35">
      <c r="A111" s="8"/>
      <c r="B111" s="9"/>
      <c r="C111" s="67"/>
      <c r="D111" s="3" t="s">
        <v>104</v>
      </c>
      <c r="E111" s="85"/>
      <c r="F111" s="148" t="str">
        <f t="shared" si="9"/>
        <v xml:space="preserve">*obligatorisk </v>
      </c>
      <c r="G111" s="68"/>
      <c r="H111" s="156"/>
      <c r="I111" s="67"/>
      <c r="J111" s="9"/>
      <c r="K111" s="8"/>
      <c r="M111" s="154">
        <f>IFERROR(VLOOKUP(E111,Innstillinger!$B$14:$C$19,2,FALSE),0)</f>
        <v>0</v>
      </c>
      <c r="N111" s="154">
        <f>IFERROR(IF(E111="",1,IF(E111=Innstillinger!$B$8,1,IF(M111/1&lt;1,2,0))),3)</f>
        <v>1</v>
      </c>
      <c r="O111" s="124" t="str">
        <f>IF(N111=1,$P$6,"")</f>
        <v xml:space="preserve">*obligatorisk </v>
      </c>
      <c r="P111" s="146" t="s">
        <v>57</v>
      </c>
      <c r="Q111" s="146" t="s">
        <v>57</v>
      </c>
      <c r="R111" s="146" t="s">
        <v>57</v>
      </c>
    </row>
    <row r="112" spans="1:19" ht="17.25" customHeight="1" thickTop="1" thickBot="1" x14ac:dyDescent="0.35">
      <c r="A112" s="8"/>
      <c r="B112" s="9"/>
      <c r="C112" s="67"/>
      <c r="D112" s="89" t="s">
        <v>106</v>
      </c>
      <c r="E112" s="214"/>
      <c r="F112" s="90" t="str">
        <f>O112</f>
        <v/>
      </c>
      <c r="G112" s="231"/>
      <c r="H112" s="231"/>
      <c r="I112" s="67"/>
      <c r="J112" s="9"/>
      <c r="K112" s="8"/>
      <c r="N112" s="154">
        <f>IF(AND(M111=0,E111=Innstillinger!$B$19),1,0)</f>
        <v>0</v>
      </c>
      <c r="O112" s="124" t="str">
        <f>IF(N112=1,P112,"")</f>
        <v/>
      </c>
      <c r="P112" s="170" t="s">
        <v>107</v>
      </c>
      <c r="Q112" s="146" t="s">
        <v>57</v>
      </c>
      <c r="R112" s="146" t="s">
        <v>57</v>
      </c>
    </row>
    <row r="113" spans="1:19" ht="15.75" thickTop="1" x14ac:dyDescent="0.25">
      <c r="A113" s="8"/>
      <c r="B113" s="9"/>
      <c r="C113" s="1"/>
      <c r="D113" s="3"/>
      <c r="E113" s="3"/>
      <c r="F113" s="261" t="str">
        <f>O115</f>
        <v xml:space="preserve">*obligatorisk </v>
      </c>
      <c r="G113" s="261"/>
      <c r="H113" s="261"/>
      <c r="I113" s="1"/>
      <c r="J113" s="9"/>
      <c r="K113" s="8"/>
      <c r="N113" s="154">
        <f>N115</f>
        <v>1</v>
      </c>
      <c r="O113" s="47"/>
      <c r="P113" s="136"/>
    </row>
    <row r="114" spans="1:19" ht="15.75" customHeight="1" x14ac:dyDescent="0.25">
      <c r="A114" s="8"/>
      <c r="B114" s="9"/>
      <c r="C114" s="1"/>
      <c r="D114" s="3"/>
      <c r="E114" s="3"/>
      <c r="F114" s="261"/>
      <c r="G114" s="261"/>
      <c r="H114" s="261"/>
      <c r="I114" s="1"/>
      <c r="J114" s="9"/>
      <c r="K114" s="8"/>
      <c r="N114" s="47"/>
      <c r="O114" s="47"/>
      <c r="P114" s="136"/>
    </row>
    <row r="115" spans="1:19" ht="15.75" thickBot="1" x14ac:dyDescent="0.3">
      <c r="A115" s="8"/>
      <c r="B115" s="9"/>
      <c r="C115" s="1"/>
      <c r="D115" s="3" t="s">
        <v>81</v>
      </c>
      <c r="E115" s="132"/>
      <c r="F115" s="261"/>
      <c r="G115" s="261"/>
      <c r="H115" s="261"/>
      <c r="I115" s="1"/>
      <c r="J115" s="9"/>
      <c r="K115" s="8"/>
      <c r="M115" s="155"/>
      <c r="N115" s="154">
        <f>IFERROR(IF(E115="",1,IF(E115=Innstillinger!$B$8,1,IF(E115/1&lt;0,2,0))),3)</f>
        <v>1</v>
      </c>
      <c r="O115" s="124" t="str">
        <f>IF(N115=1,$P$6,IF(E127="","",IF(E127&gt;$P$3,P115,"")))</f>
        <v xml:space="preserve">*obligatorisk </v>
      </c>
      <c r="P115" s="168" t="str">
        <f>"⚠️Årslønnen dere oppgir, utgjør en høy timesats for en ansatt med undervisningstid. Timesats over "&amp;$P$3&amp;" kroner, inkludert sosiale utgifter, må dokumenteres. Vi ber dere derfor legge ved underbilag som dokumenterer den ansattes årslønn."</f>
        <v>⚠️Årslønnen dere oppgir, utgjør en høy timesats for en ansatt med undervisningstid. Timesats over 1250 kroner, inkludert sosiale utgifter, må dokumenteres. Vi ber dere derfor legge ved underbilag som dokumenterer den ansattes årslønn.</v>
      </c>
      <c r="Q115" s="146"/>
      <c r="R115" s="146" t="s">
        <v>57</v>
      </c>
    </row>
    <row r="116" spans="1:19" ht="16.5" thickTop="1" thickBot="1" x14ac:dyDescent="0.3">
      <c r="A116" s="8"/>
      <c r="B116" s="9"/>
      <c r="C116" s="1"/>
      <c r="D116" s="3" t="s">
        <v>82</v>
      </c>
      <c r="E116" s="16"/>
      <c r="F116" s="90" t="str">
        <f t="shared" ref="F116:F118" si="10">O116</f>
        <v xml:space="preserve">*obligatorisk </v>
      </c>
      <c r="G116" s="222"/>
      <c r="H116" s="222"/>
      <c r="I116" s="1"/>
      <c r="J116" s="9"/>
      <c r="K116" s="8"/>
      <c r="N116" s="154">
        <f>IFERROR(IF(E116="",1,IF(E116=Innstillinger!$B$8,1,IF(AND(E116&lt;&gt;12%,E116&lt;&gt;14.3%),2,0))),3)</f>
        <v>1</v>
      </c>
      <c r="O116" s="124" t="str">
        <f>IF(N116=1,$P$6,"")</f>
        <v xml:space="preserve">*obligatorisk </v>
      </c>
      <c r="P116" s="146" t="s">
        <v>57</v>
      </c>
      <c r="Q116" s="146" t="s">
        <v>57</v>
      </c>
      <c r="R116" s="146" t="s">
        <v>57</v>
      </c>
    </row>
    <row r="117" spans="1:19" ht="16.5" thickTop="1" thickBot="1" x14ac:dyDescent="0.3">
      <c r="A117" s="8"/>
      <c r="B117" s="9"/>
      <c r="C117" s="1"/>
      <c r="D117" s="3" t="s">
        <v>83</v>
      </c>
      <c r="E117" s="17"/>
      <c r="F117" s="153" t="str">
        <f t="shared" si="10"/>
        <v xml:space="preserve">*obligatorisk </v>
      </c>
      <c r="G117" s="221"/>
      <c r="H117" s="223"/>
      <c r="I117" s="1"/>
      <c r="J117" s="9"/>
      <c r="K117" s="8"/>
      <c r="N117" s="154">
        <f>IFERROR(IF(E117="",1,IF(E117=Innstillinger!$B$8,1,IF(E117/1&lt;2%,2,0))),3)</f>
        <v>1</v>
      </c>
      <c r="O117" s="124" t="str">
        <f>IF(N117=1,$P$6,IF(E117&gt;$P$4,P117,""))</f>
        <v xml:space="preserve">*obligatorisk </v>
      </c>
      <c r="P117" s="168" t="str">
        <f>"⚠️Dere oppgir en høy pensjonssats - over "&amp;TEXT($P$4,"#%")&amp;". Forklar hvorfor, og vis utregning i kommentarfeltet nederst. "</f>
        <v xml:space="preserve">⚠️Dere oppgir en høy pensjonssats - over 10%. Forklar hvorfor, og vis utregning i kommentarfeltet nederst. </v>
      </c>
      <c r="Q117" s="146" t="s">
        <v>57</v>
      </c>
      <c r="R117" s="146" t="s">
        <v>57</v>
      </c>
    </row>
    <row r="118" spans="1:19" ht="15.75" thickTop="1" x14ac:dyDescent="0.25">
      <c r="A118" s="8"/>
      <c r="B118" s="9"/>
      <c r="C118" s="1"/>
      <c r="D118" s="60" t="s">
        <v>84</v>
      </c>
      <c r="E118" s="17"/>
      <c r="F118" s="90" t="str">
        <f t="shared" si="10"/>
        <v xml:space="preserve">*obligatorisk </v>
      </c>
      <c r="G118" s="223"/>
      <c r="H118" s="49"/>
      <c r="I118" s="1"/>
      <c r="J118" s="9"/>
      <c r="K118" s="8"/>
      <c r="N118" s="154">
        <f>IFERROR(IF(E118="",1,IF(E118=Innstillinger!$B$8,1,IF(E118/1&lt;0,2,0))),3)</f>
        <v>1</v>
      </c>
      <c r="O118" s="124" t="str">
        <f>IF(N118=1,$P$6,"")</f>
        <v xml:space="preserve">*obligatorisk </v>
      </c>
      <c r="P118" s="146" t="s">
        <v>57</v>
      </c>
      <c r="Q118" s="146" t="s">
        <v>57</v>
      </c>
      <c r="R118" s="146" t="s">
        <v>57</v>
      </c>
    </row>
    <row r="119" spans="1:19" x14ac:dyDescent="0.25">
      <c r="A119" s="8"/>
      <c r="B119" s="9"/>
      <c r="C119" s="1"/>
      <c r="D119" s="69" t="s">
        <v>85</v>
      </c>
      <c r="E119" s="14"/>
      <c r="F119" s="224" t="str">
        <f>O119</f>
        <v/>
      </c>
      <c r="G119" s="225"/>
      <c r="H119" s="225"/>
      <c r="I119" s="1"/>
      <c r="J119" s="9"/>
      <c r="K119" s="8"/>
      <c r="O119" s="124" t="str">
        <f>IF(N119=1,$P$6,"")</f>
        <v/>
      </c>
      <c r="P119" s="146" t="s">
        <v>57</v>
      </c>
      <c r="Q119" s="146" t="s">
        <v>57</v>
      </c>
      <c r="R119" s="146" t="s">
        <v>57</v>
      </c>
    </row>
    <row r="120" spans="1:19" x14ac:dyDescent="0.25">
      <c r="A120" s="8"/>
      <c r="B120" s="9"/>
      <c r="C120" s="1"/>
      <c r="D120" s="66"/>
      <c r="E120" s="14"/>
      <c r="F120" s="149"/>
      <c r="J120" s="9"/>
      <c r="K120" s="8"/>
      <c r="N120" s="47"/>
      <c r="O120" s="47"/>
      <c r="P120" s="136"/>
      <c r="R120" t="s">
        <v>57</v>
      </c>
      <c r="S120" s="121"/>
    </row>
    <row r="121" spans="1:19" ht="16.5" thickBot="1" x14ac:dyDescent="0.35">
      <c r="A121" s="8"/>
      <c r="B121" s="9"/>
      <c r="C121" s="67"/>
      <c r="D121" s="3" t="s">
        <v>109</v>
      </c>
      <c r="E121" s="87"/>
      <c r="F121" s="153" t="str">
        <f t="shared" ref="F121:F122" si="11">O121</f>
        <v xml:space="preserve">*obligatorisk </v>
      </c>
      <c r="I121" s="67"/>
      <c r="J121" s="9"/>
      <c r="K121" s="8"/>
      <c r="N121" s="154">
        <f>IFERROR(IF(E121="",1,IF(E121=Innstillinger!$B$8,1,IF(E121/1&lt;0,2,0))),3)</f>
        <v>1</v>
      </c>
      <c r="O121" s="124" t="str">
        <f>IF(E121="",$P$6,IF(E121=0,P121,""))</f>
        <v xml:space="preserve">*obligatorisk </v>
      </c>
      <c r="P121" s="168" t="s">
        <v>110</v>
      </c>
      <c r="Q121" s="146" t="s">
        <v>57</v>
      </c>
      <c r="R121" s="146" t="s">
        <v>57</v>
      </c>
      <c r="S121" s="114"/>
    </row>
    <row r="122" spans="1:19" ht="16.5" thickTop="1" thickBot="1" x14ac:dyDescent="0.3">
      <c r="A122" s="8"/>
      <c r="B122" s="9"/>
      <c r="C122" s="1"/>
      <c r="D122" s="3" t="s">
        <v>225</v>
      </c>
      <c r="E122" s="87"/>
      <c r="F122" s="265" t="str">
        <f t="shared" si="11"/>
        <v xml:space="preserve">*obligatorisk </v>
      </c>
      <c r="G122" s="265"/>
      <c r="H122" s="265"/>
      <c r="I122" s="144"/>
      <c r="J122" s="9"/>
      <c r="K122" s="8"/>
      <c r="M122" s="154">
        <f>IFERROR(VLOOKUP(E122,Innstillinger!B179:C182,2,FALSE),50)</f>
        <v>50</v>
      </c>
      <c r="N122" s="154">
        <f>IFERROR(IF(E122="",1,IF(E122=Innstillinger!$B$8,1,IF(AND(E121&gt;0,(E121-E122)/1&lt;0),0,0))),3)</f>
        <v>1</v>
      </c>
      <c r="O122" s="124" t="str">
        <f>IF(E122="",$P$6,IF(AND(E121&gt;0,(E121-E122)/1&lt;0),P122,""))</f>
        <v xml:space="preserve">*obligatorisk </v>
      </c>
      <c r="P122" s="168" t="str">
        <f>"⚠️Dere søker om flere timer ("&amp;ROUND(E122,0)&amp;" timer), enn det PPT tilråder ("&amp;ROUND(E121,0)&amp;" timer). Forklare i kommentarfeltet hvorfor dere søker på flere timer enn tilrådet."</f>
        <v>⚠️Dere søker om flere timer (0 timer), enn det PPT tilråder (0 timer). Forklare i kommentarfeltet hvorfor dere søker på flere timer enn tilrådet.</v>
      </c>
      <c r="Q122" s="146" t="s">
        <v>57</v>
      </c>
      <c r="R122" s="146" t="s">
        <v>57</v>
      </c>
      <c r="S122" s="121"/>
    </row>
    <row r="123" spans="1:19" ht="15.75" thickTop="1" x14ac:dyDescent="0.25">
      <c r="A123" s="8"/>
      <c r="B123" s="9"/>
      <c r="C123" s="1"/>
      <c r="D123" s="3"/>
      <c r="E123" s="14"/>
      <c r="F123" s="265"/>
      <c r="G123" s="265"/>
      <c r="H123" s="265"/>
      <c r="J123" s="9"/>
      <c r="K123" s="8"/>
    </row>
    <row r="124" spans="1:19" x14ac:dyDescent="0.25">
      <c r="A124" s="8"/>
      <c r="B124" s="9"/>
      <c r="C124" s="1"/>
      <c r="D124" s="3"/>
      <c r="E124" s="148"/>
      <c r="F124" s="160"/>
      <c r="J124" s="9"/>
      <c r="K124" s="8"/>
      <c r="N124" s="122" t="s">
        <v>87</v>
      </c>
      <c r="O124" s="122" t="s">
        <v>74</v>
      </c>
      <c r="P124" s="122" t="s">
        <v>75</v>
      </c>
      <c r="Q124" s="122" t="s">
        <v>76</v>
      </c>
      <c r="R124" s="122"/>
      <c r="S124" s="121"/>
    </row>
    <row r="125" spans="1:19" ht="15.75" thickBot="1" x14ac:dyDescent="0.3">
      <c r="A125" s="8"/>
      <c r="B125" s="9"/>
      <c r="C125" s="1"/>
      <c r="D125" s="3" t="s">
        <v>226</v>
      </c>
      <c r="E125" s="116" t="str">
        <f>IF(N125="skjul","",E122/VLOOKUP(E111,Innstillinger!$B$14:$C$19,2,FALSE))</f>
        <v/>
      </c>
      <c r="F125" s="213" t="str">
        <f>O125</f>
        <v/>
      </c>
      <c r="J125" s="9"/>
      <c r="K125" s="8"/>
      <c r="N125" s="123" t="str">
        <f>IF(N111+N113+N120+N115+N116+N117+N121+N122=0,"vis","skjul")</f>
        <v>skjul</v>
      </c>
      <c r="O125" s="124" t="str">
        <f>IF(AND(F134=TRUE,N125="vis"),Q125,"")</f>
        <v/>
      </c>
      <c r="P125" s="146" t="s">
        <v>57</v>
      </c>
      <c r="Q125" s="169" t="str">
        <f>"➡️ "&amp;TEXT(E125,"#%")&amp;" stilling  =  "&amp;E121&amp;" faktiske arbeidstimer/uke   ÷   "&amp;M120&amp;"  alminnelig arbeidstid/uke"</f>
        <v>➡️  stilling  =   faktiske arbeidstimer/uke   ÷     alminnelig arbeidstid/uke</v>
      </c>
      <c r="R125" s="146" t="s">
        <v>57</v>
      </c>
      <c r="S125" s="121"/>
    </row>
    <row r="126" spans="1:19" ht="16.5" thickTop="1" thickBot="1" x14ac:dyDescent="0.3">
      <c r="A126" s="8"/>
      <c r="B126" s="9"/>
      <c r="C126" s="1"/>
      <c r="D126" s="3" t="s">
        <v>227</v>
      </c>
      <c r="E126" s="133" t="str">
        <f>IF(N125="skjul","",IF(E109=Innstillinger!B102,'Lønn med undervisningstid'!E115*1500/'Lønn med undervisningstid'!M111/1687.5,E115*1400*100/M111/1687.5/112))</f>
        <v/>
      </c>
      <c r="F126" s="213" t="str">
        <f>O126</f>
        <v/>
      </c>
      <c r="G126" s="144"/>
      <c r="H126" s="144"/>
      <c r="I126" s="144"/>
      <c r="J126" s="9"/>
      <c r="K126" s="8"/>
      <c r="M126" s="175" t="e">
        <f>IF(E109=Innstillinger!B102,'Lønn med undervisningstid'!E115*1500/'Lønn med undervisningstid'!M111/1687.5,E115*1400*100/M111/1687.5/112)</f>
        <v>#DIV/0!</v>
      </c>
      <c r="N126" s="123" t="str">
        <f>N125</f>
        <v>skjul</v>
      </c>
      <c r="O126" s="124" t="str">
        <f>IF(AND(F134=TRUE,N126="vis"),IF(E109=Innstillinger!B102,P126,Q126),"")</f>
        <v/>
      </c>
      <c r="P126" s="169" t="str">
        <f>"➡️ "&amp;TEXT(E126,"# ##0,#0")&amp;" kroner per time  =  "&amp;TEXT(E115,"# ##0")&amp;" kroner årslønn x 1500 ÷  ("&amp;M111&amp;" årsramme x 1687,5), i Oslo kommune"</f>
        <v>➡️  kroner per time  =  0 kroner årslønn x 1500 ÷  (0 årsramme x 1687,5), i Oslo kommune</v>
      </c>
      <c r="Q126" s="169" t="str">
        <f>"➡️ "&amp;TEXT(E126,"# ##0,#0")&amp;" kroner per time  =  "&amp;TEXT(E115,"# ##0")&amp;" kroner årslønn x 1400 x 100 ÷  ("&amp;M111&amp;" årsramme x 1687,5 x 112), i KS-området"</f>
        <v>➡️  kroner per time  =  0 kroner årslønn x 1400 x 100 ÷  (0 årsramme x 1687,5 x 112), i KS-området</v>
      </c>
      <c r="R126" s="146" t="s">
        <v>57</v>
      </c>
      <c r="S126" s="121"/>
    </row>
    <row r="127" spans="1:19" ht="16.5" thickTop="1" thickBot="1" x14ac:dyDescent="0.3">
      <c r="A127" s="8"/>
      <c r="B127" s="9"/>
      <c r="C127" s="1"/>
      <c r="D127" s="3" t="s">
        <v>228</v>
      </c>
      <c r="E127" s="115" t="str">
        <f>IF(N127="skjul","",(E126*(1+E116+E117+(E116*E117))*(1+E118)))</f>
        <v/>
      </c>
      <c r="F127" s="213" t="str">
        <f>O127</f>
        <v/>
      </c>
      <c r="G127" s="120"/>
      <c r="H127" s="120"/>
      <c r="I127" s="120"/>
      <c r="J127" s="9"/>
      <c r="K127" s="8"/>
      <c r="M127" s="5"/>
      <c r="N127" s="123" t="str">
        <f>N126</f>
        <v>skjul</v>
      </c>
      <c r="O127" s="124" t="str">
        <f>IF(AND(F134=TRUE,N127="vis"),Q127,"")</f>
        <v/>
      </c>
      <c r="P127" s="146" t="s">
        <v>57</v>
      </c>
      <c r="Q127" s="169" t="str">
        <f>"➡️ "&amp;TEXT(E127,"# ##0,##")&amp;" kroner per time  =  "&amp;TEXT(E126,"# ##0,##")&amp;" timelønn  x  sosiale utgifter"</f>
        <v>➡️  kroner per time  =   timelønn  x  sosiale utgifter</v>
      </c>
      <c r="R127" s="146" t="s">
        <v>57</v>
      </c>
      <c r="S127" s="121"/>
    </row>
    <row r="128" spans="1:19" ht="15.75" thickTop="1" x14ac:dyDescent="0.25">
      <c r="A128" s="8"/>
      <c r="B128" s="9"/>
      <c r="C128" s="1"/>
      <c r="D128" s="3"/>
      <c r="E128" s="4"/>
      <c r="F128" s="159"/>
      <c r="J128" s="9"/>
      <c r="K128" s="8"/>
      <c r="M128" s="5"/>
      <c r="P128" s="136"/>
      <c r="Q128" s="136"/>
      <c r="R128" s="136" t="s">
        <v>57</v>
      </c>
      <c r="S128" s="121"/>
    </row>
    <row r="129" spans="1:19" ht="15.75" thickBot="1" x14ac:dyDescent="0.3">
      <c r="A129" s="8"/>
      <c r="B129" s="9"/>
      <c r="C129" s="1"/>
      <c r="D129" s="3" t="s">
        <v>89</v>
      </c>
      <c r="E129" s="35" t="str">
        <f>IF(N129="skjul","",E126*E122)</f>
        <v/>
      </c>
      <c r="F129" s="213" t="str">
        <f>O129</f>
        <v/>
      </c>
      <c r="G129" s="60"/>
      <c r="H129" s="60"/>
      <c r="I129" s="1"/>
      <c r="J129" s="9"/>
      <c r="K129" s="8"/>
      <c r="L129" s="144"/>
      <c r="N129" s="123" t="str">
        <f>N125</f>
        <v>skjul</v>
      </c>
      <c r="O129" s="124" t="str">
        <f>IF(AND(F134=TRUE,N129="vis"),Q129,"")</f>
        <v/>
      </c>
      <c r="P129" s="146" t="s">
        <v>57</v>
      </c>
      <c r="Q129" s="169" t="str">
        <f>"➡️ "&amp;TEXT(E129,"# ##0")&amp;" kroner lønn uten feriepenger  =  "&amp;TEXT(E126,"#,##")&amp;" timelønn  x  "&amp;E121&amp;" timer per uke   x   "&amp;E122&amp;" uker"</f>
        <v>➡️  kroner lønn uten feriepenger  =   timelønn  x   timer per uke   x    uker</v>
      </c>
      <c r="R129" s="146" t="s">
        <v>57</v>
      </c>
    </row>
    <row r="130" spans="1:19" ht="16.5" thickTop="1" thickBot="1" x14ac:dyDescent="0.3">
      <c r="A130" s="8"/>
      <c r="B130" s="9"/>
      <c r="C130" s="1"/>
      <c r="D130" s="3" t="s">
        <v>30</v>
      </c>
      <c r="E130" s="36" t="str">
        <f>IF(N129="skjul","",(E129)*E116)</f>
        <v/>
      </c>
      <c r="F130" s="213" t="str">
        <f>O130</f>
        <v/>
      </c>
      <c r="G130" s="60"/>
      <c r="H130" s="60"/>
      <c r="I130" s="1"/>
      <c r="J130" s="9"/>
      <c r="K130" s="8"/>
      <c r="L130" s="144"/>
      <c r="N130" s="123" t="str">
        <f>N125</f>
        <v>skjul</v>
      </c>
      <c r="O130" s="124" t="str">
        <f>IF(AND(F134=TRUE,N130="vis"),Q130,"")</f>
        <v/>
      </c>
      <c r="P130" s="146" t="s">
        <v>57</v>
      </c>
      <c r="Q130" s="169" t="str">
        <f>"➡️ "&amp;TEXT(E130,"# ##0")&amp;" kroner lønn uten feriepenger  =  "&amp;TEXT(E129,"# ##0")&amp;" lønn  x  "&amp;TEXT(E115,"#,0 %")&amp;" feriepenger sats"</f>
        <v>➡️  kroner lønn uten feriepenger  =   lønn  x  ,0 % feriepenger sats</v>
      </c>
      <c r="R130" s="146" t="s">
        <v>57</v>
      </c>
    </row>
    <row r="131" spans="1:19" ht="16.5" thickTop="1" thickBot="1" x14ac:dyDescent="0.3">
      <c r="A131" s="8"/>
      <c r="B131" s="9"/>
      <c r="C131" s="1"/>
      <c r="D131" s="3" t="s">
        <v>90</v>
      </c>
      <c r="E131" s="36" t="str">
        <f>IF(N129="skjul","",(E129+E130)*E117)</f>
        <v/>
      </c>
      <c r="F131" s="213" t="str">
        <f>O131</f>
        <v/>
      </c>
      <c r="G131" s="60"/>
      <c r="H131" s="60"/>
      <c r="I131" s="1"/>
      <c r="J131" s="9"/>
      <c r="K131" s="8"/>
      <c r="L131" s="144"/>
      <c r="M131" s="144"/>
      <c r="N131" s="123" t="str">
        <f>N125</f>
        <v>skjul</v>
      </c>
      <c r="O131" s="124" t="str">
        <f>IF(AND(F134=TRUE,N131="vis"),Q131,"")</f>
        <v/>
      </c>
      <c r="P131" s="146" t="s">
        <v>57</v>
      </c>
      <c r="Q131" s="169" t="str">
        <f>"➡️ "&amp;TEXT(E131,"# ##0")&amp;" kroner pensjon  =  ("&amp;TEXT(E129,"# ##0")&amp;" lønn + "&amp;TEXT(E130,"# ##0")&amp;" feriepenger)  x  "&amp;TEXT(E116,"#,0 %")&amp;" pensjon sats"</f>
        <v>➡️  kroner pensjon  =  ( lønn +  feriepenger)  x  ,0 % pensjon sats</v>
      </c>
      <c r="R131" s="146" t="s">
        <v>57</v>
      </c>
    </row>
    <row r="132" spans="1:19" ht="16.5" customHeight="1" thickTop="1" x14ac:dyDescent="0.25">
      <c r="A132" s="8"/>
      <c r="B132" s="9"/>
      <c r="C132" s="1"/>
      <c r="D132" s="3" t="s">
        <v>22</v>
      </c>
      <c r="E132" s="37" t="str">
        <f>IF(N129="skjul","",(E129+E130+E131)*E118)</f>
        <v/>
      </c>
      <c r="F132" s="213" t="str">
        <f>O132</f>
        <v/>
      </c>
      <c r="G132" s="60"/>
      <c r="H132" s="60"/>
      <c r="I132" s="1"/>
      <c r="J132" s="9"/>
      <c r="K132" s="8"/>
      <c r="L132" s="144"/>
      <c r="N132" s="123" t="str">
        <f>N125</f>
        <v>skjul</v>
      </c>
      <c r="O132" s="124" t="str">
        <f>IF(AND(F134=TRUE,N132="vis"),Q132,"")</f>
        <v/>
      </c>
      <c r="P132" s="146" t="s">
        <v>57</v>
      </c>
      <c r="Q132" s="169" t="str">
        <f>"➡️ "&amp;TEXT(E132,"# ##0")&amp;" kroner arbeidsgiveravgift =  ("&amp;TEXT(E129,"# ##0")&amp;" lønn + "&amp;TEXT(E130,"# ##0")&amp;" feriepenger + "&amp;TEXT(E131,"# ##0")&amp;" pensjon)  x  "&amp;TEXT(E117,"#,0 %")&amp;" aga sats"</f>
        <v>➡️  kroner arbeidsgiveravgift =  ( lønn +  feriepenger +  pensjon)  x  ,0 % aga sats</v>
      </c>
      <c r="R132" s="146" t="s">
        <v>57</v>
      </c>
    </row>
    <row r="133" spans="1:19" ht="6" customHeight="1" x14ac:dyDescent="0.25">
      <c r="A133" s="8"/>
      <c r="B133" s="9"/>
      <c r="C133" s="1"/>
      <c r="D133" s="3"/>
      <c r="E133" s="4"/>
      <c r="F133" s="185"/>
      <c r="G133" s="60"/>
      <c r="H133" s="60"/>
      <c r="I133" s="1"/>
      <c r="J133" s="9"/>
      <c r="K133" s="8"/>
      <c r="N133" s="47"/>
    </row>
    <row r="134" spans="1:19" ht="18.75" customHeight="1" x14ac:dyDescent="0.3">
      <c r="A134" s="8"/>
      <c r="B134" s="10"/>
      <c r="C134" s="11"/>
      <c r="D134" s="12" t="s">
        <v>92</v>
      </c>
      <c r="E134" s="13" t="str">
        <f>IFERROR(E129+E130+E131+E132,"")</f>
        <v/>
      </c>
      <c r="F134" s="241" t="b">
        <v>0</v>
      </c>
      <c r="G134" s="182" t="s">
        <v>93</v>
      </c>
      <c r="I134" s="11"/>
      <c r="J134" s="10"/>
      <c r="K134" s="8"/>
      <c r="L134" s="5"/>
      <c r="N134" s="123" t="str">
        <f>N125</f>
        <v>skjul</v>
      </c>
      <c r="O134" s="124"/>
      <c r="P134" s="146" t="s">
        <v>57</v>
      </c>
      <c r="Q134" s="169"/>
      <c r="R134" s="146" t="s">
        <v>57</v>
      </c>
    </row>
    <row r="135" spans="1:19" s="11" customFormat="1" ht="19.5" customHeight="1" x14ac:dyDescent="0.25">
      <c r="A135" s="8"/>
      <c r="B135" s="10"/>
      <c r="C135" s="98"/>
      <c r="D135" s="137" t="s">
        <v>91</v>
      </c>
      <c r="E135" s="138" t="str">
        <f>IFERROR(E134/E107,"")</f>
        <v/>
      </c>
      <c r="F135" s="213"/>
      <c r="G135" s="186"/>
      <c r="H135" s="186"/>
      <c r="I135" s="98"/>
      <c r="J135" s="10"/>
      <c r="K135" s="8"/>
      <c r="L135" s="226"/>
      <c r="N135" s="123" t="str">
        <f>N125</f>
        <v>skjul</v>
      </c>
      <c r="O135" s="124" t="str">
        <f>IF(AND(F134=TRUE,N135="vis"),Q135,"")</f>
        <v/>
      </c>
      <c r="P135" s="146" t="s">
        <v>57</v>
      </c>
      <c r="Q135" s="169" t="str">
        <f>"➡️ "&amp;TEXT(E135,"# ##0")&amp;" kroner totale =  "&amp;TEXT(E129,"# ##0")&amp;" lønn + "&amp;TEXT(E130,"# ##0")&amp;" fp + "&amp;TEXT(E131,"# ##0")&amp;" pensjon + "&amp;TEXT(E132,"# ##0")&amp;" arbeidsgiveravgift"</f>
        <v>➡️  kroner totale =   lønn +  fp +  pensjon +  arbeidsgiveravgift</v>
      </c>
      <c r="R135" s="146" t="s">
        <v>57</v>
      </c>
    </row>
    <row r="136" spans="1:19" x14ac:dyDescent="0.25">
      <c r="A136" s="8"/>
      <c r="B136" s="9"/>
      <c r="E136" s="5"/>
      <c r="F136" s="117"/>
      <c r="J136" s="9"/>
      <c r="K136" s="8"/>
      <c r="S136" s="121"/>
    </row>
    <row r="137" spans="1:19" x14ac:dyDescent="0.25">
      <c r="A137" s="8"/>
      <c r="B137" s="9"/>
      <c r="E137" s="5"/>
      <c r="F137" s="117"/>
      <c r="J137" s="9"/>
      <c r="K137" s="8"/>
      <c r="S137" s="121"/>
    </row>
    <row r="138" spans="1:19" x14ac:dyDescent="0.25">
      <c r="A138" s="8"/>
      <c r="B138" s="9"/>
      <c r="D138" s="3" t="s">
        <v>94</v>
      </c>
      <c r="E138" s="5"/>
      <c r="F138" s="117"/>
      <c r="J138" s="9"/>
      <c r="K138" s="8"/>
      <c r="S138" s="121"/>
    </row>
    <row r="139" spans="1:19" x14ac:dyDescent="0.25">
      <c r="A139" s="8"/>
      <c r="B139" s="9"/>
      <c r="D139" s="258"/>
      <c r="E139" s="259"/>
      <c r="F139" s="259"/>
      <c r="G139" s="259"/>
      <c r="H139" s="260"/>
      <c r="I139" s="162"/>
      <c r="J139" s="9"/>
      <c r="K139" s="8"/>
    </row>
    <row r="140" spans="1:19" x14ac:dyDescent="0.25">
      <c r="A140" s="8"/>
      <c r="B140" s="9"/>
      <c r="D140" s="252"/>
      <c r="E140" s="253"/>
      <c r="F140" s="253"/>
      <c r="G140" s="253"/>
      <c r="H140" s="254"/>
      <c r="I140" s="162"/>
      <c r="J140" s="9"/>
      <c r="K140" s="8"/>
    </row>
    <row r="141" spans="1:19" x14ac:dyDescent="0.25">
      <c r="A141" s="8"/>
      <c r="B141" s="9"/>
      <c r="D141" s="252"/>
      <c r="E141" s="253"/>
      <c r="F141" s="253"/>
      <c r="G141" s="253"/>
      <c r="H141" s="254"/>
      <c r="I141" s="162"/>
      <c r="J141" s="9"/>
      <c r="K141" s="8"/>
    </row>
    <row r="142" spans="1:19" x14ac:dyDescent="0.25">
      <c r="A142" s="8"/>
      <c r="B142" s="9"/>
      <c r="D142" s="252"/>
      <c r="E142" s="253"/>
      <c r="F142" s="253"/>
      <c r="G142" s="253"/>
      <c r="H142" s="254"/>
      <c r="I142" s="162"/>
      <c r="J142" s="9"/>
      <c r="K142" s="8"/>
    </row>
    <row r="143" spans="1:19" x14ac:dyDescent="0.25">
      <c r="A143" s="8"/>
      <c r="B143" s="9"/>
      <c r="D143" s="252"/>
      <c r="E143" s="253"/>
      <c r="F143" s="253"/>
      <c r="G143" s="253"/>
      <c r="H143" s="254"/>
      <c r="I143" s="162"/>
      <c r="J143" s="9"/>
      <c r="K143" s="8"/>
    </row>
    <row r="144" spans="1:19" x14ac:dyDescent="0.25">
      <c r="A144" s="8"/>
      <c r="B144" s="9"/>
      <c r="D144" s="255"/>
      <c r="E144" s="256"/>
      <c r="F144" s="256"/>
      <c r="G144" s="256"/>
      <c r="H144" s="257"/>
      <c r="I144" s="162"/>
      <c r="J144" s="9"/>
      <c r="K144" s="8"/>
    </row>
    <row r="145" spans="1:19" x14ac:dyDescent="0.25">
      <c r="A145" s="8"/>
      <c r="B145" s="9"/>
      <c r="E145" s="5"/>
      <c r="F145" s="117"/>
      <c r="J145" s="9"/>
      <c r="K145" s="8"/>
    </row>
    <row r="146" spans="1:19" x14ac:dyDescent="0.25">
      <c r="A146" s="8"/>
      <c r="B146" s="9"/>
      <c r="C146" s="9"/>
      <c r="D146" s="9"/>
      <c r="E146" s="9"/>
      <c r="F146" s="92"/>
      <c r="G146" s="9"/>
      <c r="H146" s="9"/>
      <c r="I146" s="9"/>
      <c r="J146" s="9"/>
      <c r="K146" s="8"/>
    </row>
    <row r="147" spans="1:19" x14ac:dyDescent="0.25">
      <c r="A147" s="8"/>
      <c r="B147" s="9"/>
      <c r="C147" s="9"/>
      <c r="D147" s="9"/>
      <c r="E147" s="9"/>
      <c r="F147" s="92"/>
      <c r="G147" s="9"/>
      <c r="H147" s="9"/>
      <c r="I147" s="9"/>
      <c r="J147" s="9"/>
      <c r="K147" s="8"/>
    </row>
    <row r="148" spans="1:19" ht="6" customHeight="1" x14ac:dyDescent="0.25">
      <c r="A148" s="8"/>
      <c r="B148" s="8"/>
      <c r="C148" s="8"/>
      <c r="D148" s="8"/>
      <c r="E148" s="8"/>
      <c r="F148" s="91"/>
      <c r="G148" s="8"/>
      <c r="H148" s="8"/>
      <c r="I148" s="8"/>
      <c r="J148" s="8"/>
      <c r="K148" s="8"/>
    </row>
    <row r="149" spans="1:19" x14ac:dyDescent="0.25">
      <c r="A149" s="8"/>
      <c r="B149" s="9"/>
      <c r="C149" s="1"/>
      <c r="D149" s="1"/>
      <c r="E149" s="1"/>
      <c r="F149" s="95"/>
      <c r="G149" s="1"/>
      <c r="H149" s="1"/>
      <c r="I149" s="1"/>
      <c r="J149" s="9"/>
      <c r="K149" s="8"/>
      <c r="M149">
        <v>1</v>
      </c>
      <c r="N149" s="122" t="s">
        <v>73</v>
      </c>
      <c r="O149" s="122" t="s">
        <v>74</v>
      </c>
      <c r="P149" s="122" t="s">
        <v>75</v>
      </c>
      <c r="Q149" s="122" t="s">
        <v>76</v>
      </c>
      <c r="R149" s="122" t="s">
        <v>57</v>
      </c>
    </row>
    <row r="150" spans="1:19" ht="26.25" x14ac:dyDescent="0.4">
      <c r="A150" s="8"/>
      <c r="B150" s="9"/>
      <c r="C150" s="1"/>
      <c r="D150" s="227" t="s">
        <v>231</v>
      </c>
      <c r="E150" s="1"/>
      <c r="F150" s="95"/>
      <c r="G150" s="1"/>
      <c r="H150" s="1"/>
      <c r="I150" s="1"/>
      <c r="J150" s="9"/>
      <c r="K150" s="8"/>
      <c r="N150" s="122"/>
      <c r="O150" s="122"/>
      <c r="P150" s="122"/>
      <c r="Q150" s="122"/>
      <c r="R150" s="122"/>
    </row>
    <row r="151" spans="1:19" ht="15.75" thickBot="1" x14ac:dyDescent="0.3">
      <c r="A151" s="8"/>
      <c r="B151" s="9"/>
      <c r="C151" s="1"/>
      <c r="D151" s="3" t="s">
        <v>78</v>
      </c>
      <c r="E151" s="135"/>
      <c r="F151" s="90" t="str">
        <f>O151</f>
        <v xml:space="preserve">*obligatorisk </v>
      </c>
      <c r="G151" s="221"/>
      <c r="H151" s="221"/>
      <c r="I151" s="1"/>
      <c r="J151" s="9"/>
      <c r="K151" s="8"/>
      <c r="N151" s="154">
        <f>IF(E151="",1,0)</f>
        <v>1</v>
      </c>
      <c r="O151" s="124" t="str">
        <f>IF(N151=1,$P$6,"")</f>
        <v xml:space="preserve">*obligatorisk </v>
      </c>
      <c r="P151" s="146" t="s">
        <v>57</v>
      </c>
      <c r="Q151" s="146" t="s">
        <v>57</v>
      </c>
      <c r="R151" s="146" t="s">
        <v>57</v>
      </c>
    </row>
    <row r="152" spans="1:19" ht="16.5" thickTop="1" thickBot="1" x14ac:dyDescent="0.3">
      <c r="A152" s="8"/>
      <c r="B152" s="9"/>
      <c r="C152" s="1"/>
      <c r="D152" s="3" t="s">
        <v>79</v>
      </c>
      <c r="E152" s="135"/>
      <c r="F152" s="90" t="str">
        <f>O152</f>
        <v xml:space="preserve">*obligatorisk </v>
      </c>
      <c r="G152" s="221"/>
      <c r="H152" s="221"/>
      <c r="I152" s="1"/>
      <c r="J152" s="9"/>
      <c r="K152" s="8"/>
      <c r="N152" s="154">
        <f>IF(E152="",1,0)</f>
        <v>1</v>
      </c>
      <c r="O152" s="124" t="str">
        <f>IF(N152=1,$P$6,"")</f>
        <v xml:space="preserve">*obligatorisk </v>
      </c>
      <c r="P152" s="146" t="s">
        <v>57</v>
      </c>
      <c r="Q152" s="146" t="s">
        <v>57</v>
      </c>
      <c r="R152" s="146" t="s">
        <v>57</v>
      </c>
    </row>
    <row r="153" spans="1:19" ht="16.5" thickTop="1" thickBot="1" x14ac:dyDescent="0.3">
      <c r="A153" s="8"/>
      <c r="B153" s="9"/>
      <c r="C153" s="1"/>
      <c r="D153" s="3" t="s">
        <v>100</v>
      </c>
      <c r="E153" s="87"/>
      <c r="F153" s="90" t="str">
        <f t="shared" ref="F153" si="12">O153</f>
        <v xml:space="preserve">*obligatorisk </v>
      </c>
      <c r="G153" s="221"/>
      <c r="J153" s="9"/>
      <c r="K153" s="8"/>
      <c r="N153" s="154">
        <f>IFERROR(IF(E153="",1,IF(E153=Innstillinger!$B$8,1,IF(E153/1&lt;1,2,0))),3)</f>
        <v>1</v>
      </c>
      <c r="O153" s="124" t="str">
        <f>IF(N153=1,$P$6,"")</f>
        <v xml:space="preserve">*obligatorisk </v>
      </c>
      <c r="P153" s="146" t="s">
        <v>57</v>
      </c>
      <c r="Q153" s="146" t="s">
        <v>57</v>
      </c>
      <c r="R153" s="146" t="s">
        <v>57</v>
      </c>
      <c r="S153" s="121"/>
    </row>
    <row r="154" spans="1:19" ht="15.75" thickTop="1" x14ac:dyDescent="0.25">
      <c r="A154" s="8"/>
      <c r="B154" s="9"/>
      <c r="C154" s="1"/>
      <c r="D154" s="3"/>
      <c r="E154" s="3"/>
      <c r="F154" s="149"/>
      <c r="G154" s="144"/>
      <c r="H154" s="144"/>
      <c r="I154" s="144"/>
      <c r="J154" s="9"/>
      <c r="K154" s="8"/>
      <c r="N154" s="47"/>
      <c r="P154" s="147"/>
      <c r="Q154" s="147"/>
      <c r="R154" s="147"/>
      <c r="S154" s="121"/>
    </row>
    <row r="155" spans="1:19" ht="16.5" customHeight="1" thickBot="1" x14ac:dyDescent="0.35">
      <c r="A155" s="8"/>
      <c r="B155" s="9"/>
      <c r="C155" s="67"/>
      <c r="D155" s="3" t="s">
        <v>101</v>
      </c>
      <c r="E155" s="86"/>
      <c r="F155" s="148" t="str">
        <f t="shared" ref="F155:F157" si="13">O155</f>
        <v xml:space="preserve">*obligatorisk </v>
      </c>
      <c r="G155" s="163"/>
      <c r="H155" s="163"/>
      <c r="I155" s="67"/>
      <c r="J155" s="9"/>
      <c r="K155" s="8"/>
      <c r="N155" s="154">
        <f>IFERROR(IF(E155="",1,IF(E155=Innstillinger!$B$8,1,IF(AND(E155&lt;&gt;Innstillinger!$B$9,E155&lt;&gt;Innstillinger!$B$10),2,0))),3)</f>
        <v>1</v>
      </c>
      <c r="O155" s="124" t="str">
        <f>IF(N155=1,$P$6,"")</f>
        <v xml:space="preserve">*obligatorisk </v>
      </c>
      <c r="P155" s="146" t="s">
        <v>57</v>
      </c>
      <c r="Q155" s="146" t="s">
        <v>57</v>
      </c>
      <c r="R155" s="146" t="s">
        <v>57</v>
      </c>
    </row>
    <row r="156" spans="1:19" ht="17.25" thickTop="1" thickBot="1" x14ac:dyDescent="0.35">
      <c r="A156" s="8"/>
      <c r="B156" s="9"/>
      <c r="C156" s="67"/>
      <c r="D156" s="3" t="s">
        <v>103</v>
      </c>
      <c r="E156" s="87"/>
      <c r="F156" s="148" t="str">
        <f t="shared" si="13"/>
        <v xml:space="preserve">*obligatorisk </v>
      </c>
      <c r="G156" s="163"/>
      <c r="H156" s="163"/>
      <c r="I156" s="67"/>
      <c r="J156" s="9"/>
      <c r="K156" s="8"/>
      <c r="N156" s="154">
        <f>IFERROR(IF(E156="",1,IF(E156=Innstillinger!$B$8,1,IF(AND(E156&lt;38,E156&gt;45),2,0))),3)</f>
        <v>1</v>
      </c>
      <c r="O156" s="124" t="str">
        <f>IF(N156=1,$P$6,"")</f>
        <v xml:space="preserve">*obligatorisk </v>
      </c>
      <c r="P156" s="146" t="s">
        <v>57</v>
      </c>
      <c r="Q156" s="146" t="s">
        <v>57</v>
      </c>
      <c r="R156" s="146" t="s">
        <v>57</v>
      </c>
    </row>
    <row r="157" spans="1:19" ht="17.25" thickTop="1" thickBot="1" x14ac:dyDescent="0.35">
      <c r="A157" s="8"/>
      <c r="B157" s="9"/>
      <c r="C157" s="67"/>
      <c r="D157" s="3" t="s">
        <v>104</v>
      </c>
      <c r="E157" s="85"/>
      <c r="F157" s="148" t="str">
        <f t="shared" si="13"/>
        <v xml:space="preserve">*obligatorisk </v>
      </c>
      <c r="G157" s="68"/>
      <c r="H157" s="156"/>
      <c r="I157" s="67"/>
      <c r="J157" s="9"/>
      <c r="K157" s="8"/>
      <c r="M157" s="154">
        <f>IFERROR(VLOOKUP(E157,Innstillinger!$B$14:$C$19,2,FALSE),0)</f>
        <v>0</v>
      </c>
      <c r="N157" s="154">
        <f>IFERROR(IF(E157="",1,IF(E157=Innstillinger!$B$8,1,IF(M157/1&lt;1,2,0))),3)</f>
        <v>1</v>
      </c>
      <c r="O157" s="124" t="str">
        <f>IF(N157=1,$P$6,"")</f>
        <v xml:space="preserve">*obligatorisk </v>
      </c>
      <c r="P157" s="146" t="s">
        <v>57</v>
      </c>
      <c r="Q157" s="146" t="s">
        <v>57</v>
      </c>
      <c r="R157" s="146" t="s">
        <v>57</v>
      </c>
    </row>
    <row r="158" spans="1:19" ht="17.25" customHeight="1" thickTop="1" thickBot="1" x14ac:dyDescent="0.35">
      <c r="A158" s="8"/>
      <c r="B158" s="9"/>
      <c r="C158" s="67"/>
      <c r="D158" s="89" t="s">
        <v>106</v>
      </c>
      <c r="E158" s="214"/>
      <c r="F158" s="90" t="str">
        <f>O158</f>
        <v/>
      </c>
      <c r="G158" s="231"/>
      <c r="H158" s="231"/>
      <c r="I158" s="67"/>
      <c r="J158" s="9"/>
      <c r="K158" s="8"/>
      <c r="N158" s="154">
        <f>IF(AND(M157=0,E157=Innstillinger!$B$19),1,0)</f>
        <v>0</v>
      </c>
      <c r="O158" s="124" t="str">
        <f>IF(N158=1,P158,"")</f>
        <v/>
      </c>
      <c r="P158" s="170" t="s">
        <v>107</v>
      </c>
      <c r="Q158" s="146" t="s">
        <v>57</v>
      </c>
      <c r="R158" s="146" t="s">
        <v>57</v>
      </c>
    </row>
    <row r="159" spans="1:19" ht="15.75" thickTop="1" x14ac:dyDescent="0.25">
      <c r="A159" s="8"/>
      <c r="B159" s="9"/>
      <c r="C159" s="1"/>
      <c r="D159" s="3"/>
      <c r="E159" s="3"/>
      <c r="F159" s="261" t="str">
        <f>O161</f>
        <v xml:space="preserve">*obligatorisk </v>
      </c>
      <c r="G159" s="261"/>
      <c r="H159" s="261"/>
      <c r="I159" s="1"/>
      <c r="J159" s="9"/>
      <c r="K159" s="8"/>
      <c r="N159" s="154">
        <f>N161</f>
        <v>1</v>
      </c>
      <c r="O159" s="47"/>
      <c r="P159" s="136"/>
    </row>
    <row r="160" spans="1:19" ht="15.75" customHeight="1" x14ac:dyDescent="0.25">
      <c r="A160" s="8"/>
      <c r="B160" s="9"/>
      <c r="C160" s="1"/>
      <c r="D160" s="3"/>
      <c r="E160" s="3"/>
      <c r="F160" s="261"/>
      <c r="G160" s="261"/>
      <c r="H160" s="261"/>
      <c r="I160" s="1"/>
      <c r="J160" s="9"/>
      <c r="K160" s="8"/>
      <c r="N160" s="47"/>
      <c r="O160" s="47"/>
      <c r="P160" s="136"/>
    </row>
    <row r="161" spans="1:19" ht="15.75" thickBot="1" x14ac:dyDescent="0.3">
      <c r="A161" s="8"/>
      <c r="B161" s="9"/>
      <c r="C161" s="1"/>
      <c r="D161" s="3" t="s">
        <v>81</v>
      </c>
      <c r="E161" s="132"/>
      <c r="F161" s="261"/>
      <c r="G161" s="261"/>
      <c r="H161" s="261"/>
      <c r="I161" s="1"/>
      <c r="J161" s="9"/>
      <c r="K161" s="8"/>
      <c r="M161" s="155"/>
      <c r="N161" s="154">
        <f>IFERROR(IF(E161="",1,IF(E161=Innstillinger!$B$8,1,IF(E161/1&lt;0,2,0))),3)</f>
        <v>1</v>
      </c>
      <c r="O161" s="124" t="str">
        <f>IF(N161=1,$P$6,IF(E173="","",IF(E173&gt;$P$3,P161,"")))</f>
        <v xml:space="preserve">*obligatorisk </v>
      </c>
      <c r="P161" s="168" t="str">
        <f>"⚠️Årslønnen dere oppgir, utgjør en høy timesats for en ansatt med undervisningstid. Timesats over "&amp;$P$3&amp;" kroner, inkludert sosiale utgifter, må dokumenteres. Vi ber dere derfor legge ved underbilag som dokumenterer den ansattes årslønn."</f>
        <v>⚠️Årslønnen dere oppgir, utgjør en høy timesats for en ansatt med undervisningstid. Timesats over 1250 kroner, inkludert sosiale utgifter, må dokumenteres. Vi ber dere derfor legge ved underbilag som dokumenterer den ansattes årslønn.</v>
      </c>
      <c r="Q161" s="146"/>
      <c r="R161" s="146" t="s">
        <v>57</v>
      </c>
    </row>
    <row r="162" spans="1:19" ht="16.5" thickTop="1" thickBot="1" x14ac:dyDescent="0.3">
      <c r="A162" s="8"/>
      <c r="B162" s="9"/>
      <c r="C162" s="1"/>
      <c r="D162" s="3" t="s">
        <v>82</v>
      </c>
      <c r="E162" s="16"/>
      <c r="F162" s="90" t="str">
        <f t="shared" ref="F162:F164" si="14">O162</f>
        <v xml:space="preserve">*obligatorisk </v>
      </c>
      <c r="G162" s="222"/>
      <c r="H162" s="222"/>
      <c r="I162" s="1"/>
      <c r="J162" s="9"/>
      <c r="K162" s="8"/>
      <c r="N162" s="154">
        <f>IFERROR(IF(E162="",1,IF(E162=Innstillinger!$B$8,1,IF(AND(E162&lt;&gt;12%,E162&lt;&gt;14.3%),2,0))),3)</f>
        <v>1</v>
      </c>
      <c r="O162" s="124" t="str">
        <f>IF(N162=1,$P$6,"")</f>
        <v xml:space="preserve">*obligatorisk </v>
      </c>
      <c r="P162" s="146" t="s">
        <v>57</v>
      </c>
      <c r="Q162" s="146" t="s">
        <v>57</v>
      </c>
      <c r="R162" s="146" t="s">
        <v>57</v>
      </c>
    </row>
    <row r="163" spans="1:19" ht="16.5" thickTop="1" thickBot="1" x14ac:dyDescent="0.3">
      <c r="A163" s="8"/>
      <c r="B163" s="9"/>
      <c r="C163" s="1"/>
      <c r="D163" s="3" t="s">
        <v>83</v>
      </c>
      <c r="E163" s="17"/>
      <c r="F163" s="153" t="str">
        <f t="shared" si="14"/>
        <v xml:space="preserve">*obligatorisk </v>
      </c>
      <c r="G163" s="221"/>
      <c r="H163" s="223"/>
      <c r="I163" s="1"/>
      <c r="J163" s="9"/>
      <c r="K163" s="8"/>
      <c r="N163" s="154">
        <f>IFERROR(IF(E163="",1,IF(E163=Innstillinger!$B$8,1,IF(E163/1&lt;2%,2,0))),3)</f>
        <v>1</v>
      </c>
      <c r="O163" s="124" t="str">
        <f>IF(N163=1,$P$6,IF(E163&gt;$P$4,P163,""))</f>
        <v xml:space="preserve">*obligatorisk </v>
      </c>
      <c r="P163" s="168" t="str">
        <f>"⚠️Dere oppgir en høy pensjonssats - over "&amp;TEXT($P$4,"#%")&amp;". Forklar hvorfor, og vis utregning i kommentarfeltet nederst. "</f>
        <v xml:space="preserve">⚠️Dere oppgir en høy pensjonssats - over 10%. Forklar hvorfor, og vis utregning i kommentarfeltet nederst. </v>
      </c>
      <c r="Q163" s="146" t="s">
        <v>57</v>
      </c>
      <c r="R163" s="146" t="s">
        <v>57</v>
      </c>
    </row>
    <row r="164" spans="1:19" ht="15.75" thickTop="1" x14ac:dyDescent="0.25">
      <c r="A164" s="8"/>
      <c r="B164" s="9"/>
      <c r="C164" s="1"/>
      <c r="D164" s="60" t="s">
        <v>84</v>
      </c>
      <c r="E164" s="17"/>
      <c r="F164" s="90" t="str">
        <f t="shared" si="14"/>
        <v xml:space="preserve">*obligatorisk </v>
      </c>
      <c r="G164" s="223"/>
      <c r="H164" s="49"/>
      <c r="I164" s="1"/>
      <c r="J164" s="9"/>
      <c r="K164" s="8"/>
      <c r="N164" s="154">
        <f>IFERROR(IF(E164="",1,IF(E164=Innstillinger!$B$8,1,IF(E164/1&lt;0,2,0))),3)</f>
        <v>1</v>
      </c>
      <c r="O164" s="124" t="str">
        <f>IF(N164=1,$P$6,"")</f>
        <v xml:space="preserve">*obligatorisk </v>
      </c>
      <c r="P164" s="146" t="s">
        <v>57</v>
      </c>
      <c r="Q164" s="146" t="s">
        <v>57</v>
      </c>
      <c r="R164" s="146" t="s">
        <v>57</v>
      </c>
    </row>
    <row r="165" spans="1:19" x14ac:dyDescent="0.25">
      <c r="A165" s="8"/>
      <c r="B165" s="9"/>
      <c r="C165" s="1"/>
      <c r="D165" s="69" t="s">
        <v>85</v>
      </c>
      <c r="E165" s="14"/>
      <c r="F165" s="224" t="str">
        <f>O165</f>
        <v/>
      </c>
      <c r="G165" s="225"/>
      <c r="H165" s="225"/>
      <c r="I165" s="1"/>
      <c r="J165" s="9"/>
      <c r="K165" s="8"/>
      <c r="O165" s="124" t="str">
        <f>IF(N165=1,$P$6,"")</f>
        <v/>
      </c>
      <c r="P165" s="146" t="s">
        <v>57</v>
      </c>
      <c r="Q165" s="146" t="s">
        <v>57</v>
      </c>
      <c r="R165" s="146" t="s">
        <v>57</v>
      </c>
    </row>
    <row r="166" spans="1:19" x14ac:dyDescent="0.25">
      <c r="A166" s="8"/>
      <c r="B166" s="9"/>
      <c r="C166" s="1"/>
      <c r="D166" s="66"/>
      <c r="E166" s="14"/>
      <c r="F166" s="149"/>
      <c r="J166" s="9"/>
      <c r="K166" s="8"/>
      <c r="N166" s="47"/>
      <c r="O166" s="47"/>
      <c r="P166" s="136"/>
      <c r="R166" t="s">
        <v>57</v>
      </c>
      <c r="S166" s="121"/>
    </row>
    <row r="167" spans="1:19" ht="16.5" thickBot="1" x14ac:dyDescent="0.35">
      <c r="A167" s="8"/>
      <c r="B167" s="9"/>
      <c r="C167" s="67"/>
      <c r="D167" s="3" t="s">
        <v>109</v>
      </c>
      <c r="E167" s="87"/>
      <c r="F167" s="153" t="str">
        <f t="shared" ref="F167:F168" si="15">O167</f>
        <v xml:space="preserve">*obligatorisk </v>
      </c>
      <c r="I167" s="67"/>
      <c r="J167" s="9"/>
      <c r="K167" s="8"/>
      <c r="N167" s="154">
        <f>IFERROR(IF(E167="",1,IF(E167=Innstillinger!$B$8,1,IF(E167/1&lt;0,2,0))),3)</f>
        <v>1</v>
      </c>
      <c r="O167" s="124" t="str">
        <f>IF(E167="",$P$6,IF(E167=0,P167,""))</f>
        <v xml:space="preserve">*obligatorisk </v>
      </c>
      <c r="P167" s="168" t="s">
        <v>110</v>
      </c>
      <c r="Q167" s="146" t="s">
        <v>57</v>
      </c>
      <c r="R167" s="146" t="s">
        <v>57</v>
      </c>
      <c r="S167" s="114"/>
    </row>
    <row r="168" spans="1:19" ht="16.5" thickTop="1" thickBot="1" x14ac:dyDescent="0.3">
      <c r="A168" s="8"/>
      <c r="B168" s="9"/>
      <c r="C168" s="1"/>
      <c r="D168" s="3" t="s">
        <v>225</v>
      </c>
      <c r="E168" s="87"/>
      <c r="F168" s="265" t="str">
        <f t="shared" si="15"/>
        <v xml:space="preserve">*obligatorisk </v>
      </c>
      <c r="G168" s="265"/>
      <c r="H168" s="265"/>
      <c r="I168" s="144"/>
      <c r="J168" s="9"/>
      <c r="K168" s="8"/>
      <c r="M168" s="154">
        <f>IFERROR(VLOOKUP(E168,Innstillinger!B225:C228,2,FALSE),50)</f>
        <v>50</v>
      </c>
      <c r="N168" s="154">
        <f>IFERROR(IF(E168="",1,IF(E168=Innstillinger!$B$8,1,IF(AND(E167&gt;0,(E167-E168)/1&lt;0),0,0))),3)</f>
        <v>1</v>
      </c>
      <c r="O168" s="124" t="str">
        <f>IF(E168="",$P$6,IF(AND(E167&gt;0,(E167-E168)/1&lt;0),P168,""))</f>
        <v xml:space="preserve">*obligatorisk </v>
      </c>
      <c r="P168" s="168" t="str">
        <f>"⚠️Dere søker om flere timer ("&amp;ROUND(E168,0)&amp;" timer), enn det PPT tilråder ("&amp;ROUND(E167,0)&amp;" timer). Forklare i kommentarfeltet hvorfor dere søker på flere timer enn tilrådet."</f>
        <v>⚠️Dere søker om flere timer (0 timer), enn det PPT tilråder (0 timer). Forklare i kommentarfeltet hvorfor dere søker på flere timer enn tilrådet.</v>
      </c>
      <c r="Q168" s="146" t="s">
        <v>57</v>
      </c>
      <c r="R168" s="146" t="s">
        <v>57</v>
      </c>
      <c r="S168" s="121"/>
    </row>
    <row r="169" spans="1:19" ht="15.75" thickTop="1" x14ac:dyDescent="0.25">
      <c r="A169" s="8"/>
      <c r="B169" s="9"/>
      <c r="C169" s="1"/>
      <c r="D169" s="3"/>
      <c r="E169" s="14"/>
      <c r="F169" s="265"/>
      <c r="G169" s="265"/>
      <c r="H169" s="265"/>
      <c r="J169" s="9"/>
      <c r="K169" s="8"/>
    </row>
    <row r="170" spans="1:19" x14ac:dyDescent="0.25">
      <c r="A170" s="8"/>
      <c r="B170" s="9"/>
      <c r="C170" s="1"/>
      <c r="D170" s="3"/>
      <c r="E170" s="148"/>
      <c r="F170" s="160"/>
      <c r="J170" s="9"/>
      <c r="K170" s="8"/>
      <c r="N170" s="122" t="s">
        <v>87</v>
      </c>
      <c r="O170" s="122" t="s">
        <v>74</v>
      </c>
      <c r="P170" s="122" t="s">
        <v>75</v>
      </c>
      <c r="Q170" s="122" t="s">
        <v>76</v>
      </c>
      <c r="R170" s="122"/>
      <c r="S170" s="121"/>
    </row>
    <row r="171" spans="1:19" ht="15.75" thickBot="1" x14ac:dyDescent="0.3">
      <c r="A171" s="8"/>
      <c r="B171" s="9"/>
      <c r="C171" s="1"/>
      <c r="D171" s="3" t="s">
        <v>226</v>
      </c>
      <c r="E171" s="116" t="str">
        <f>IF(N171="skjul","",E168/VLOOKUP(E157,Innstillinger!$B$14:$C$19,2,FALSE))</f>
        <v/>
      </c>
      <c r="F171" s="213" t="str">
        <f>O171</f>
        <v/>
      </c>
      <c r="J171" s="9"/>
      <c r="K171" s="8"/>
      <c r="N171" s="123" t="str">
        <f>IF(N157+N159+N166+N161+N162+N163+N167+N168=0,"vis","skjul")</f>
        <v>skjul</v>
      </c>
      <c r="O171" s="124" t="str">
        <f>IF(AND(F180=TRUE,N171="vis"),Q171,"")</f>
        <v/>
      </c>
      <c r="P171" s="146" t="s">
        <v>57</v>
      </c>
      <c r="Q171" s="169" t="str">
        <f>"➡️ "&amp;TEXT(E171,"#%")&amp;" stilling  =  "&amp;E167&amp;" faktiske arbeidstimer/uke   ÷   "&amp;M166&amp;"  alminnelig arbeidstid/uke"</f>
        <v>➡️  stilling  =   faktiske arbeidstimer/uke   ÷     alminnelig arbeidstid/uke</v>
      </c>
      <c r="R171" s="146" t="s">
        <v>57</v>
      </c>
      <c r="S171" s="121"/>
    </row>
    <row r="172" spans="1:19" ht="16.5" thickTop="1" thickBot="1" x14ac:dyDescent="0.3">
      <c r="A172" s="8"/>
      <c r="B172" s="9"/>
      <c r="C172" s="1"/>
      <c r="D172" s="3" t="s">
        <v>227</v>
      </c>
      <c r="E172" s="133" t="str">
        <f>IF(N171="skjul","",IF(E155=Innstillinger!B148,'Lønn med undervisningstid'!E161*1500/'Lønn med undervisningstid'!M157/1687.5,E161*1400*100/M157/1687.5/112))</f>
        <v/>
      </c>
      <c r="F172" s="213" t="str">
        <f>O172</f>
        <v/>
      </c>
      <c r="G172" s="144"/>
      <c r="H172" s="144"/>
      <c r="I172" s="144"/>
      <c r="J172" s="9"/>
      <c r="K172" s="8"/>
      <c r="M172" s="175" t="e">
        <f>IF(E155=Innstillinger!B148,'Lønn med undervisningstid'!E161*1500/'Lønn med undervisningstid'!M157/1687.5,E161*1400*100/M157/1687.5/112)</f>
        <v>#DIV/0!</v>
      </c>
      <c r="N172" s="123" t="str">
        <f>N171</f>
        <v>skjul</v>
      </c>
      <c r="O172" s="124" t="str">
        <f>IF(AND(F180=TRUE,N172="vis"),IF(E155=Innstillinger!B148,P172,Q172),"")</f>
        <v/>
      </c>
      <c r="P172" s="169" t="str">
        <f>"➡️ "&amp;TEXT(E172,"# ##0,#0")&amp;" kroner per time  =  "&amp;TEXT(E161,"# ##0")&amp;" kroner årslønn x 1500 ÷  ("&amp;M157&amp;" årsramme x 1687,5), i Oslo kommune"</f>
        <v>➡️  kroner per time  =  0 kroner årslønn x 1500 ÷  (0 årsramme x 1687,5), i Oslo kommune</v>
      </c>
      <c r="Q172" s="169" t="str">
        <f>"➡️ "&amp;TEXT(E172,"# ##0,#0")&amp;" kroner per time  =  "&amp;TEXT(E161,"# ##0")&amp;" kroner årslønn x 1400 x 100 ÷  ("&amp;M157&amp;" årsramme x 1687,5 x 112), i KS-området"</f>
        <v>➡️  kroner per time  =  0 kroner årslønn x 1400 x 100 ÷  (0 årsramme x 1687,5 x 112), i KS-området</v>
      </c>
      <c r="R172" s="146" t="s">
        <v>57</v>
      </c>
      <c r="S172" s="121"/>
    </row>
    <row r="173" spans="1:19" ht="16.5" thickTop="1" thickBot="1" x14ac:dyDescent="0.3">
      <c r="A173" s="8"/>
      <c r="B173" s="9"/>
      <c r="C173" s="1"/>
      <c r="D173" s="3" t="s">
        <v>228</v>
      </c>
      <c r="E173" s="115" t="str">
        <f>IF(N173="skjul","",(E172*(1+E162+E163+(E162*E163))*(1+E164)))</f>
        <v/>
      </c>
      <c r="F173" s="213" t="str">
        <f>O173</f>
        <v/>
      </c>
      <c r="G173" s="120"/>
      <c r="H173" s="120"/>
      <c r="I173" s="120"/>
      <c r="J173" s="9"/>
      <c r="K173" s="8"/>
      <c r="M173" s="5"/>
      <c r="N173" s="123" t="str">
        <f>N172</f>
        <v>skjul</v>
      </c>
      <c r="O173" s="124" t="str">
        <f>IF(AND(F180=TRUE,N173="vis"),Q173,"")</f>
        <v/>
      </c>
      <c r="P173" s="146" t="s">
        <v>57</v>
      </c>
      <c r="Q173" s="169" t="str">
        <f>"➡️ "&amp;TEXT(E173,"# ##0,##")&amp;" kroner per time  =  "&amp;TEXT(E172,"# ##0,##")&amp;" timelønn  x  sosiale utgifter"</f>
        <v>➡️  kroner per time  =   timelønn  x  sosiale utgifter</v>
      </c>
      <c r="R173" s="146" t="s">
        <v>57</v>
      </c>
      <c r="S173" s="121"/>
    </row>
    <row r="174" spans="1:19" ht="15.75" thickTop="1" x14ac:dyDescent="0.25">
      <c r="A174" s="8"/>
      <c r="B174" s="9"/>
      <c r="C174" s="1"/>
      <c r="D174" s="3"/>
      <c r="E174" s="4"/>
      <c r="F174" s="159"/>
      <c r="J174" s="9"/>
      <c r="K174" s="8"/>
      <c r="M174" s="5"/>
      <c r="P174" s="136"/>
      <c r="Q174" s="136"/>
      <c r="R174" s="136" t="s">
        <v>57</v>
      </c>
      <c r="S174" s="121"/>
    </row>
    <row r="175" spans="1:19" ht="15.75" thickBot="1" x14ac:dyDescent="0.3">
      <c r="A175" s="8"/>
      <c r="B175" s="9"/>
      <c r="C175" s="1"/>
      <c r="D175" s="3" t="s">
        <v>89</v>
      </c>
      <c r="E175" s="35" t="str">
        <f>IF(N175="skjul","",E172*E168)</f>
        <v/>
      </c>
      <c r="F175" s="213" t="str">
        <f>O175</f>
        <v/>
      </c>
      <c r="G175" s="60"/>
      <c r="H175" s="60"/>
      <c r="I175" s="1"/>
      <c r="J175" s="9"/>
      <c r="K175" s="8"/>
      <c r="L175" s="144"/>
      <c r="N175" s="123" t="str">
        <f>N171</f>
        <v>skjul</v>
      </c>
      <c r="O175" s="124" t="str">
        <f>IF(AND(F180=TRUE,N175="vis"),Q175,"")</f>
        <v/>
      </c>
      <c r="P175" s="146" t="s">
        <v>57</v>
      </c>
      <c r="Q175" s="169" t="str">
        <f>"➡️ "&amp;TEXT(E175,"# ##0")&amp;" kroner lønn uten feriepenger  =  "&amp;TEXT(E172,"#,##")&amp;" timelønn  x  "&amp;E167&amp;" timer per uke   x   "&amp;E168&amp;" uker"</f>
        <v>➡️  kroner lønn uten feriepenger  =   timelønn  x   timer per uke   x    uker</v>
      </c>
      <c r="R175" s="146" t="s">
        <v>57</v>
      </c>
    </row>
    <row r="176" spans="1:19" ht="16.5" thickTop="1" thickBot="1" x14ac:dyDescent="0.3">
      <c r="A176" s="8"/>
      <c r="B176" s="9"/>
      <c r="C176" s="1"/>
      <c r="D176" s="3" t="s">
        <v>30</v>
      </c>
      <c r="E176" s="36" t="str">
        <f>IF(N175="skjul","",(E175)*E162)</f>
        <v/>
      </c>
      <c r="F176" s="213" t="str">
        <f>O176</f>
        <v/>
      </c>
      <c r="G176" s="60"/>
      <c r="H176" s="60"/>
      <c r="I176" s="1"/>
      <c r="J176" s="9"/>
      <c r="K176" s="8"/>
      <c r="L176" s="144"/>
      <c r="N176" s="123" t="str">
        <f>N171</f>
        <v>skjul</v>
      </c>
      <c r="O176" s="124" t="str">
        <f>IF(AND(F180=TRUE,N176="vis"),Q176,"")</f>
        <v/>
      </c>
      <c r="P176" s="146" t="s">
        <v>57</v>
      </c>
      <c r="Q176" s="169" t="str">
        <f>"➡️ "&amp;TEXT(E176,"# ##0")&amp;" kroner lønn uten feriepenger  =  "&amp;TEXT(E175,"# ##0")&amp;" lønn  x  "&amp;TEXT(E161,"#,0 %")&amp;" feriepenger sats"</f>
        <v>➡️  kroner lønn uten feriepenger  =   lønn  x  ,0 % feriepenger sats</v>
      </c>
      <c r="R176" s="146" t="s">
        <v>57</v>
      </c>
    </row>
    <row r="177" spans="1:19" ht="16.5" thickTop="1" thickBot="1" x14ac:dyDescent="0.3">
      <c r="A177" s="8"/>
      <c r="B177" s="9"/>
      <c r="C177" s="1"/>
      <c r="D177" s="3" t="s">
        <v>90</v>
      </c>
      <c r="E177" s="36" t="str">
        <f>IF(N175="skjul","",(E175+E176)*E163)</f>
        <v/>
      </c>
      <c r="F177" s="213" t="str">
        <f>O177</f>
        <v/>
      </c>
      <c r="G177" s="60"/>
      <c r="H177" s="60"/>
      <c r="I177" s="1"/>
      <c r="J177" s="9"/>
      <c r="K177" s="8"/>
      <c r="L177" s="144"/>
      <c r="M177" s="144"/>
      <c r="N177" s="123" t="str">
        <f>N171</f>
        <v>skjul</v>
      </c>
      <c r="O177" s="124" t="str">
        <f>IF(AND(F180=TRUE,N177="vis"),Q177,"")</f>
        <v/>
      </c>
      <c r="P177" s="146" t="s">
        <v>57</v>
      </c>
      <c r="Q177" s="169" t="str">
        <f>"➡️ "&amp;TEXT(E177,"# ##0")&amp;" kroner pensjon  =  ("&amp;TEXT(E175,"# ##0")&amp;" lønn + "&amp;TEXT(E176,"# ##0")&amp;" feriepenger)  x  "&amp;TEXT(E162,"#,0 %")&amp;" pensjon sats"</f>
        <v>➡️  kroner pensjon  =  ( lønn +  feriepenger)  x  ,0 % pensjon sats</v>
      </c>
      <c r="R177" s="146" t="s">
        <v>57</v>
      </c>
    </row>
    <row r="178" spans="1:19" ht="16.5" customHeight="1" thickTop="1" x14ac:dyDescent="0.25">
      <c r="A178" s="8"/>
      <c r="B178" s="9"/>
      <c r="C178" s="1"/>
      <c r="D178" s="3" t="s">
        <v>22</v>
      </c>
      <c r="E178" s="37" t="str">
        <f>IF(N175="skjul","",(E175+E176+E177)*E164)</f>
        <v/>
      </c>
      <c r="F178" s="213" t="str">
        <f>O178</f>
        <v/>
      </c>
      <c r="G178" s="60"/>
      <c r="H178" s="60"/>
      <c r="I178" s="1"/>
      <c r="J178" s="9"/>
      <c r="K178" s="8"/>
      <c r="L178" s="144"/>
      <c r="N178" s="123" t="str">
        <f>N171</f>
        <v>skjul</v>
      </c>
      <c r="O178" s="124" t="str">
        <f>IF(AND(F180=TRUE,N178="vis"),Q178,"")</f>
        <v/>
      </c>
      <c r="P178" s="146" t="s">
        <v>57</v>
      </c>
      <c r="Q178" s="169" t="str">
        <f>"➡️ "&amp;TEXT(E178,"# ##0")&amp;" kroner arbeidsgiveravgift =  ("&amp;TEXT(E175,"# ##0")&amp;" lønn + "&amp;TEXT(E176,"# ##0")&amp;" feriepenger + "&amp;TEXT(E177,"# ##0")&amp;" pensjon)  x  "&amp;TEXT(E163,"#,0 %")&amp;" aga sats"</f>
        <v>➡️  kroner arbeidsgiveravgift =  ( lønn +  feriepenger +  pensjon)  x  ,0 % aga sats</v>
      </c>
      <c r="R178" s="146" t="s">
        <v>57</v>
      </c>
    </row>
    <row r="179" spans="1:19" ht="6" customHeight="1" x14ac:dyDescent="0.25">
      <c r="A179" s="8"/>
      <c r="B179" s="9"/>
      <c r="C179" s="1"/>
      <c r="D179" s="3"/>
      <c r="E179" s="4"/>
      <c r="F179" s="185"/>
      <c r="G179" s="60"/>
      <c r="H179" s="60"/>
      <c r="I179" s="1"/>
      <c r="J179" s="9"/>
      <c r="K179" s="8"/>
      <c r="N179" s="47"/>
    </row>
    <row r="180" spans="1:19" ht="18.75" customHeight="1" x14ac:dyDescent="0.3">
      <c r="A180" s="8"/>
      <c r="B180" s="10"/>
      <c r="C180" s="11"/>
      <c r="D180" s="12" t="s">
        <v>92</v>
      </c>
      <c r="E180" s="13" t="str">
        <f>IFERROR(E175+E176+E177+E178,"")</f>
        <v/>
      </c>
      <c r="F180" s="241" t="b">
        <v>0</v>
      </c>
      <c r="G180" s="182" t="s">
        <v>93</v>
      </c>
      <c r="I180" s="11"/>
      <c r="J180" s="10"/>
      <c r="K180" s="8"/>
      <c r="L180" s="5"/>
      <c r="N180" s="123" t="str">
        <f>N171</f>
        <v>skjul</v>
      </c>
      <c r="O180" s="124"/>
      <c r="P180" s="146" t="s">
        <v>57</v>
      </c>
      <c r="Q180" s="169"/>
      <c r="R180" s="146" t="s">
        <v>57</v>
      </c>
    </row>
    <row r="181" spans="1:19" s="11" customFormat="1" ht="19.5" customHeight="1" x14ac:dyDescent="0.25">
      <c r="A181" s="8"/>
      <c r="B181" s="10"/>
      <c r="C181" s="98"/>
      <c r="D181" s="137" t="s">
        <v>91</v>
      </c>
      <c r="E181" s="138" t="str">
        <f>IFERROR(E180/E153,"")</f>
        <v/>
      </c>
      <c r="F181" s="213"/>
      <c r="G181" s="186"/>
      <c r="H181" s="186"/>
      <c r="I181" s="98"/>
      <c r="J181" s="10"/>
      <c r="K181" s="8"/>
      <c r="L181" s="226"/>
      <c r="N181" s="123" t="str">
        <f>N171</f>
        <v>skjul</v>
      </c>
      <c r="O181" s="124" t="str">
        <f>IF(AND(F180=TRUE,N181="vis"),Q181,"")</f>
        <v/>
      </c>
      <c r="P181" s="146" t="s">
        <v>57</v>
      </c>
      <c r="Q181" s="169" t="str">
        <f>"➡️ "&amp;TEXT(E181,"# ##0")&amp;" kroner totale =  "&amp;TEXT(E175,"# ##0")&amp;" lønn + "&amp;TEXT(E176,"# ##0")&amp;" fp + "&amp;TEXT(E177,"# ##0")&amp;" pensjon + "&amp;TEXT(E178,"# ##0")&amp;" arbeidsgiveravgift"</f>
        <v>➡️  kroner totale =   lønn +  fp +  pensjon +  arbeidsgiveravgift</v>
      </c>
      <c r="R181" s="146" t="s">
        <v>57</v>
      </c>
    </row>
    <row r="182" spans="1:19" x14ac:dyDescent="0.25">
      <c r="A182" s="8"/>
      <c r="B182" s="9"/>
      <c r="E182" s="5"/>
      <c r="F182" s="117"/>
      <c r="J182" s="9"/>
      <c r="K182" s="8"/>
      <c r="S182" s="121"/>
    </row>
    <row r="183" spans="1:19" x14ac:dyDescent="0.25">
      <c r="A183" s="8"/>
      <c r="B183" s="9"/>
      <c r="E183" s="5"/>
      <c r="F183" s="117"/>
      <c r="J183" s="9"/>
      <c r="K183" s="8"/>
      <c r="S183" s="121"/>
    </row>
    <row r="184" spans="1:19" x14ac:dyDescent="0.25">
      <c r="A184" s="8"/>
      <c r="B184" s="9"/>
      <c r="D184" s="3" t="s">
        <v>94</v>
      </c>
      <c r="E184" s="5"/>
      <c r="F184" s="117"/>
      <c r="J184" s="9"/>
      <c r="K184" s="8"/>
      <c r="S184" s="121"/>
    </row>
    <row r="185" spans="1:19" x14ac:dyDescent="0.25">
      <c r="A185" s="8"/>
      <c r="B185" s="9"/>
      <c r="D185" s="258"/>
      <c r="E185" s="259"/>
      <c r="F185" s="259"/>
      <c r="G185" s="259"/>
      <c r="H185" s="260"/>
      <c r="I185" s="162"/>
      <c r="J185" s="9"/>
      <c r="K185" s="8"/>
    </row>
    <row r="186" spans="1:19" x14ac:dyDescent="0.25">
      <c r="A186" s="8"/>
      <c r="B186" s="9"/>
      <c r="D186" s="252"/>
      <c r="E186" s="253"/>
      <c r="F186" s="253"/>
      <c r="G186" s="253"/>
      <c r="H186" s="254"/>
      <c r="I186" s="162"/>
      <c r="J186" s="9"/>
      <c r="K186" s="8"/>
    </row>
    <row r="187" spans="1:19" x14ac:dyDescent="0.25">
      <c r="A187" s="8"/>
      <c r="B187" s="9"/>
      <c r="D187" s="252"/>
      <c r="E187" s="253"/>
      <c r="F187" s="253"/>
      <c r="G187" s="253"/>
      <c r="H187" s="254"/>
      <c r="I187" s="162"/>
      <c r="J187" s="9"/>
      <c r="K187" s="8"/>
    </row>
    <row r="188" spans="1:19" x14ac:dyDescent="0.25">
      <c r="A188" s="8"/>
      <c r="B188" s="9"/>
      <c r="D188" s="252"/>
      <c r="E188" s="253"/>
      <c r="F188" s="253"/>
      <c r="G188" s="253"/>
      <c r="H188" s="254"/>
      <c r="I188" s="162"/>
      <c r="J188" s="9"/>
      <c r="K188" s="8"/>
    </row>
    <row r="189" spans="1:19" x14ac:dyDescent="0.25">
      <c r="A189" s="8"/>
      <c r="B189" s="9"/>
      <c r="D189" s="252"/>
      <c r="E189" s="253"/>
      <c r="F189" s="253"/>
      <c r="G189" s="253"/>
      <c r="H189" s="254"/>
      <c r="I189" s="162"/>
      <c r="J189" s="9"/>
      <c r="K189" s="8"/>
    </row>
    <row r="190" spans="1:19" x14ac:dyDescent="0.25">
      <c r="A190" s="8"/>
      <c r="B190" s="9"/>
      <c r="D190" s="255"/>
      <c r="E190" s="256"/>
      <c r="F190" s="256"/>
      <c r="G190" s="256"/>
      <c r="H190" s="257"/>
      <c r="I190" s="162"/>
      <c r="J190" s="9"/>
      <c r="K190" s="8"/>
    </row>
    <row r="191" spans="1:19" x14ac:dyDescent="0.25">
      <c r="A191" s="8"/>
      <c r="B191" s="9"/>
      <c r="E191" s="5"/>
      <c r="F191" s="117"/>
      <c r="J191" s="9"/>
      <c r="K191" s="8"/>
    </row>
    <row r="192" spans="1:19" x14ac:dyDescent="0.25">
      <c r="A192" s="8"/>
      <c r="B192" s="9"/>
      <c r="C192" s="9"/>
      <c r="D192" s="9"/>
      <c r="E192" s="9"/>
      <c r="F192" s="92"/>
      <c r="G192" s="9"/>
      <c r="H192" s="9"/>
      <c r="I192" s="9"/>
      <c r="J192" s="9"/>
      <c r="K192" s="8"/>
    </row>
    <row r="193" spans="1:19" x14ac:dyDescent="0.25">
      <c r="A193" s="8"/>
      <c r="B193" s="9"/>
      <c r="C193" s="9"/>
      <c r="D193" s="9"/>
      <c r="E193" s="9"/>
      <c r="F193" s="92"/>
      <c r="G193" s="9"/>
      <c r="H193" s="9"/>
      <c r="I193" s="9"/>
      <c r="J193" s="9"/>
      <c r="K193" s="8"/>
    </row>
    <row r="194" spans="1:19" ht="6" customHeight="1" x14ac:dyDescent="0.25">
      <c r="A194" s="8"/>
      <c r="B194" s="8"/>
      <c r="C194" s="8"/>
      <c r="D194" s="8"/>
      <c r="E194" s="8"/>
      <c r="F194" s="91"/>
      <c r="G194" s="8"/>
      <c r="H194" s="8"/>
      <c r="I194" s="8"/>
      <c r="J194" s="8"/>
      <c r="K194" s="8"/>
    </row>
    <row r="195" spans="1:19" x14ac:dyDescent="0.25">
      <c r="A195" s="8"/>
      <c r="B195" s="9"/>
      <c r="C195" s="1"/>
      <c r="D195" s="1"/>
      <c r="E195" s="1"/>
      <c r="F195" s="95"/>
      <c r="G195" s="1"/>
      <c r="H195" s="1"/>
      <c r="I195" s="1"/>
      <c r="J195" s="9"/>
      <c r="K195" s="8"/>
      <c r="M195">
        <v>1</v>
      </c>
      <c r="N195" s="122" t="s">
        <v>73</v>
      </c>
      <c r="O195" s="122" t="s">
        <v>74</v>
      </c>
      <c r="P195" s="122" t="s">
        <v>75</v>
      </c>
      <c r="Q195" s="122" t="s">
        <v>76</v>
      </c>
      <c r="R195" s="122" t="s">
        <v>57</v>
      </c>
    </row>
    <row r="196" spans="1:19" ht="26.25" x14ac:dyDescent="0.4">
      <c r="A196" s="8"/>
      <c r="B196" s="9"/>
      <c r="C196" s="1"/>
      <c r="D196" s="227" t="s">
        <v>230</v>
      </c>
      <c r="E196" s="1"/>
      <c r="F196" s="95"/>
      <c r="G196" s="1"/>
      <c r="H196" s="1"/>
      <c r="I196" s="1"/>
      <c r="J196" s="9"/>
      <c r="K196" s="8"/>
      <c r="N196" s="122"/>
      <c r="O196" s="122"/>
      <c r="P196" s="122"/>
      <c r="Q196" s="122"/>
      <c r="R196" s="122"/>
    </row>
    <row r="197" spans="1:19" ht="15.75" thickBot="1" x14ac:dyDescent="0.3">
      <c r="A197" s="8"/>
      <c r="B197" s="9"/>
      <c r="C197" s="1"/>
      <c r="D197" s="3" t="s">
        <v>78</v>
      </c>
      <c r="E197" s="135"/>
      <c r="F197" s="90" t="str">
        <f>O197</f>
        <v xml:space="preserve">*obligatorisk </v>
      </c>
      <c r="G197" s="221"/>
      <c r="H197" s="221"/>
      <c r="I197" s="1"/>
      <c r="J197" s="9"/>
      <c r="K197" s="8"/>
      <c r="N197" s="154">
        <f>IF(E197="",1,0)</f>
        <v>1</v>
      </c>
      <c r="O197" s="124" t="str">
        <f>IF(N197=1,$P$6,"")</f>
        <v xml:space="preserve">*obligatorisk </v>
      </c>
      <c r="P197" s="146" t="s">
        <v>57</v>
      </c>
      <c r="Q197" s="146" t="s">
        <v>57</v>
      </c>
      <c r="R197" s="146" t="s">
        <v>57</v>
      </c>
    </row>
    <row r="198" spans="1:19" ht="16.5" thickTop="1" thickBot="1" x14ac:dyDescent="0.3">
      <c r="A198" s="8"/>
      <c r="B198" s="9"/>
      <c r="C198" s="1"/>
      <c r="D198" s="3" t="s">
        <v>79</v>
      </c>
      <c r="E198" s="135"/>
      <c r="F198" s="90" t="str">
        <f>O198</f>
        <v xml:space="preserve">*obligatorisk </v>
      </c>
      <c r="G198" s="221"/>
      <c r="H198" s="221"/>
      <c r="I198" s="1"/>
      <c r="J198" s="9"/>
      <c r="K198" s="8"/>
      <c r="N198" s="154">
        <f>IF(E198="",1,0)</f>
        <v>1</v>
      </c>
      <c r="O198" s="124" t="str">
        <f>IF(N198=1,$P$6,"")</f>
        <v xml:space="preserve">*obligatorisk </v>
      </c>
      <c r="P198" s="146" t="s">
        <v>57</v>
      </c>
      <c r="Q198" s="146" t="s">
        <v>57</v>
      </c>
      <c r="R198" s="146" t="s">
        <v>57</v>
      </c>
    </row>
    <row r="199" spans="1:19" ht="16.5" thickTop="1" thickBot="1" x14ac:dyDescent="0.3">
      <c r="A199" s="8"/>
      <c r="B199" s="9"/>
      <c r="C199" s="1"/>
      <c r="D199" s="3" t="s">
        <v>100</v>
      </c>
      <c r="E199" s="87"/>
      <c r="F199" s="90" t="str">
        <f t="shared" ref="F199" si="16">O199</f>
        <v xml:space="preserve">*obligatorisk </v>
      </c>
      <c r="G199" s="221"/>
      <c r="J199" s="9"/>
      <c r="K199" s="8"/>
      <c r="N199" s="154">
        <f>IFERROR(IF(E199="",1,IF(E199=Innstillinger!$B$8,1,IF(E199/1&lt;1,2,0))),3)</f>
        <v>1</v>
      </c>
      <c r="O199" s="124" t="str">
        <f>IF(N199=1,$P$6,"")</f>
        <v xml:space="preserve">*obligatorisk </v>
      </c>
      <c r="P199" s="146" t="s">
        <v>57</v>
      </c>
      <c r="Q199" s="146" t="s">
        <v>57</v>
      </c>
      <c r="R199" s="146" t="s">
        <v>57</v>
      </c>
      <c r="S199" s="121"/>
    </row>
    <row r="200" spans="1:19" ht="15.75" thickTop="1" x14ac:dyDescent="0.25">
      <c r="A200" s="8"/>
      <c r="B200" s="9"/>
      <c r="C200" s="1"/>
      <c r="D200" s="3"/>
      <c r="E200" s="3"/>
      <c r="F200" s="149"/>
      <c r="G200" s="144"/>
      <c r="H200" s="144"/>
      <c r="I200" s="144"/>
      <c r="J200" s="9"/>
      <c r="K200" s="8"/>
      <c r="N200" s="47"/>
      <c r="P200" s="147"/>
      <c r="Q200" s="147"/>
      <c r="R200" s="147"/>
      <c r="S200" s="121"/>
    </row>
    <row r="201" spans="1:19" ht="16.5" customHeight="1" thickBot="1" x14ac:dyDescent="0.35">
      <c r="A201" s="8"/>
      <c r="B201" s="9"/>
      <c r="C201" s="67"/>
      <c r="D201" s="3" t="s">
        <v>101</v>
      </c>
      <c r="E201" s="86"/>
      <c r="F201" s="148" t="str">
        <f t="shared" ref="F201:F203" si="17">O201</f>
        <v xml:space="preserve">*obligatorisk </v>
      </c>
      <c r="G201" s="163"/>
      <c r="H201" s="163"/>
      <c r="I201" s="67"/>
      <c r="J201" s="9"/>
      <c r="K201" s="8"/>
      <c r="N201" s="154">
        <f>IFERROR(IF(E201="",1,IF(E201=Innstillinger!$B$8,1,IF(AND(E201&lt;&gt;Innstillinger!$B$9,E201&lt;&gt;Innstillinger!$B$10),2,0))),3)</f>
        <v>1</v>
      </c>
      <c r="O201" s="124" t="str">
        <f>IF(N201=1,$P$6,"")</f>
        <v xml:space="preserve">*obligatorisk </v>
      </c>
      <c r="P201" s="146" t="s">
        <v>57</v>
      </c>
      <c r="Q201" s="146" t="s">
        <v>57</v>
      </c>
      <c r="R201" s="146" t="s">
        <v>57</v>
      </c>
    </row>
    <row r="202" spans="1:19" ht="17.25" thickTop="1" thickBot="1" x14ac:dyDescent="0.35">
      <c r="A202" s="8"/>
      <c r="B202" s="9"/>
      <c r="C202" s="67"/>
      <c r="D202" s="3" t="s">
        <v>103</v>
      </c>
      <c r="E202" s="87"/>
      <c r="F202" s="148" t="str">
        <f t="shared" si="17"/>
        <v xml:space="preserve">*obligatorisk </v>
      </c>
      <c r="G202" s="163"/>
      <c r="H202" s="163"/>
      <c r="I202" s="67"/>
      <c r="J202" s="9"/>
      <c r="K202" s="8"/>
      <c r="N202" s="154">
        <f>IFERROR(IF(E202="",1,IF(E202=Innstillinger!$B$8,1,IF(AND(E202&lt;38,E202&gt;45),2,0))),3)</f>
        <v>1</v>
      </c>
      <c r="O202" s="124" t="str">
        <f>IF(N202=1,$P$6,"")</f>
        <v xml:space="preserve">*obligatorisk </v>
      </c>
      <c r="P202" s="146" t="s">
        <v>57</v>
      </c>
      <c r="Q202" s="146" t="s">
        <v>57</v>
      </c>
      <c r="R202" s="146" t="s">
        <v>57</v>
      </c>
    </row>
    <row r="203" spans="1:19" ht="17.25" thickTop="1" thickBot="1" x14ac:dyDescent="0.35">
      <c r="A203" s="8"/>
      <c r="B203" s="9"/>
      <c r="C203" s="67"/>
      <c r="D203" s="3" t="s">
        <v>104</v>
      </c>
      <c r="E203" s="85"/>
      <c r="F203" s="148" t="str">
        <f t="shared" si="17"/>
        <v xml:space="preserve">*obligatorisk </v>
      </c>
      <c r="G203" s="68"/>
      <c r="H203" s="156"/>
      <c r="I203" s="67"/>
      <c r="J203" s="9"/>
      <c r="K203" s="8"/>
      <c r="M203" s="154">
        <f>IFERROR(VLOOKUP(E203,Innstillinger!$B$14:$C$19,2,FALSE),0)</f>
        <v>0</v>
      </c>
      <c r="N203" s="154">
        <f>IFERROR(IF(E203="",1,IF(E203=Innstillinger!$B$8,1,IF(M203/1&lt;1,2,0))),3)</f>
        <v>1</v>
      </c>
      <c r="O203" s="124" t="str">
        <f>IF(N203=1,$P$6,"")</f>
        <v xml:space="preserve">*obligatorisk </v>
      </c>
      <c r="P203" s="146" t="s">
        <v>57</v>
      </c>
      <c r="Q203" s="146" t="s">
        <v>57</v>
      </c>
      <c r="R203" s="146" t="s">
        <v>57</v>
      </c>
    </row>
    <row r="204" spans="1:19" ht="17.25" customHeight="1" thickTop="1" thickBot="1" x14ac:dyDescent="0.35">
      <c r="A204" s="8"/>
      <c r="B204" s="9"/>
      <c r="C204" s="67"/>
      <c r="D204" s="89" t="s">
        <v>106</v>
      </c>
      <c r="E204" s="214"/>
      <c r="F204" s="90" t="str">
        <f>O204</f>
        <v/>
      </c>
      <c r="G204" s="231"/>
      <c r="H204" s="231"/>
      <c r="I204" s="67"/>
      <c r="J204" s="9"/>
      <c r="K204" s="8"/>
      <c r="N204" s="154">
        <f>IF(AND(M203=0,E203=Innstillinger!$B$19),1,0)</f>
        <v>0</v>
      </c>
      <c r="O204" s="124" t="str">
        <f>IF(N204=1,P204,"")</f>
        <v/>
      </c>
      <c r="P204" s="170" t="s">
        <v>107</v>
      </c>
      <c r="Q204" s="146" t="s">
        <v>57</v>
      </c>
      <c r="R204" s="146" t="s">
        <v>57</v>
      </c>
    </row>
    <row r="205" spans="1:19" ht="15.75" thickTop="1" x14ac:dyDescent="0.25">
      <c r="A205" s="8"/>
      <c r="B205" s="9"/>
      <c r="C205" s="1"/>
      <c r="D205" s="3"/>
      <c r="E205" s="3"/>
      <c r="F205" s="261" t="str">
        <f>O207</f>
        <v xml:space="preserve">*obligatorisk </v>
      </c>
      <c r="G205" s="261"/>
      <c r="H205" s="261"/>
      <c r="I205" s="1"/>
      <c r="J205" s="9"/>
      <c r="K205" s="8"/>
      <c r="N205" s="154">
        <f>N207</f>
        <v>1</v>
      </c>
      <c r="O205" s="47"/>
      <c r="P205" s="136"/>
    </row>
    <row r="206" spans="1:19" ht="15.75" customHeight="1" x14ac:dyDescent="0.25">
      <c r="A206" s="8"/>
      <c r="B206" s="9"/>
      <c r="C206" s="1"/>
      <c r="D206" s="3"/>
      <c r="E206" s="3"/>
      <c r="F206" s="261"/>
      <c r="G206" s="261"/>
      <c r="H206" s="261"/>
      <c r="I206" s="1"/>
      <c r="J206" s="9"/>
      <c r="K206" s="8"/>
      <c r="N206" s="47"/>
      <c r="O206" s="47"/>
      <c r="P206" s="136"/>
    </row>
    <row r="207" spans="1:19" ht="15.75" thickBot="1" x14ac:dyDescent="0.3">
      <c r="A207" s="8"/>
      <c r="B207" s="9"/>
      <c r="C207" s="1"/>
      <c r="D207" s="3" t="s">
        <v>81</v>
      </c>
      <c r="E207" s="132"/>
      <c r="F207" s="261"/>
      <c r="G207" s="261"/>
      <c r="H207" s="261"/>
      <c r="I207" s="1"/>
      <c r="J207" s="9"/>
      <c r="K207" s="8"/>
      <c r="M207" s="155"/>
      <c r="N207" s="154">
        <f>IFERROR(IF(E207="",1,IF(E207=Innstillinger!$B$8,1,IF(E207/1&lt;0,2,0))),3)</f>
        <v>1</v>
      </c>
      <c r="O207" s="124" t="str">
        <f>IF(N207=1,$P$6,IF(E219="","",IF(E219&gt;$P$3,P207,"")))</f>
        <v xml:space="preserve">*obligatorisk </v>
      </c>
      <c r="P207" s="168" t="str">
        <f>"⚠️Årslønnen dere oppgir, utgjør en høy timesats for en ansatt med undervisningstid. Timesats over "&amp;$P$3&amp;" kroner, inkludert sosiale utgifter, må dokumenteres. Vi ber dere derfor legge ved underbilag som dokumenterer den ansattes årslønn."</f>
        <v>⚠️Årslønnen dere oppgir, utgjør en høy timesats for en ansatt med undervisningstid. Timesats over 1250 kroner, inkludert sosiale utgifter, må dokumenteres. Vi ber dere derfor legge ved underbilag som dokumenterer den ansattes årslønn.</v>
      </c>
      <c r="Q207" s="146"/>
      <c r="R207" s="146" t="s">
        <v>57</v>
      </c>
    </row>
    <row r="208" spans="1:19" ht="16.5" thickTop="1" thickBot="1" x14ac:dyDescent="0.3">
      <c r="A208" s="8"/>
      <c r="B208" s="9"/>
      <c r="C208" s="1"/>
      <c r="D208" s="3" t="s">
        <v>82</v>
      </c>
      <c r="E208" s="16"/>
      <c r="F208" s="90" t="str">
        <f t="shared" ref="F208:F210" si="18">O208</f>
        <v xml:space="preserve">*obligatorisk </v>
      </c>
      <c r="G208" s="222"/>
      <c r="H208" s="222"/>
      <c r="I208" s="1"/>
      <c r="J208" s="9"/>
      <c r="K208" s="8"/>
      <c r="N208" s="154">
        <f>IFERROR(IF(E208="",1,IF(E208=Innstillinger!$B$8,1,IF(AND(E208&lt;&gt;12%,E208&lt;&gt;14.3%),2,0))),3)</f>
        <v>1</v>
      </c>
      <c r="O208" s="124" t="str">
        <f>IF(N208=1,$P$6,"")</f>
        <v xml:space="preserve">*obligatorisk </v>
      </c>
      <c r="P208" s="146" t="s">
        <v>57</v>
      </c>
      <c r="Q208" s="146" t="s">
        <v>57</v>
      </c>
      <c r="R208" s="146" t="s">
        <v>57</v>
      </c>
    </row>
    <row r="209" spans="1:19" ht="16.5" thickTop="1" thickBot="1" x14ac:dyDescent="0.3">
      <c r="A209" s="8"/>
      <c r="B209" s="9"/>
      <c r="C209" s="1"/>
      <c r="D209" s="3" t="s">
        <v>83</v>
      </c>
      <c r="E209" s="17"/>
      <c r="F209" s="153" t="str">
        <f t="shared" si="18"/>
        <v xml:space="preserve">*obligatorisk </v>
      </c>
      <c r="G209" s="221"/>
      <c r="H209" s="223"/>
      <c r="I209" s="1"/>
      <c r="J209" s="9"/>
      <c r="K209" s="8"/>
      <c r="N209" s="154">
        <f>IFERROR(IF(E209="",1,IF(E209=Innstillinger!$B$8,1,IF(E209/1&lt;2%,2,0))),3)</f>
        <v>1</v>
      </c>
      <c r="O209" s="124" t="str">
        <f>IF(N209=1,$P$6,IF(E209&gt;$P$4,P209,""))</f>
        <v xml:space="preserve">*obligatorisk </v>
      </c>
      <c r="P209" s="168" t="str">
        <f>"⚠️Dere oppgir en høy pensjonssats - over "&amp;TEXT($P$4,"#%")&amp;". Forklar hvorfor, og vis utregning i kommentarfeltet nederst. "</f>
        <v xml:space="preserve">⚠️Dere oppgir en høy pensjonssats - over 10%. Forklar hvorfor, og vis utregning i kommentarfeltet nederst. </v>
      </c>
      <c r="Q209" s="146" t="s">
        <v>57</v>
      </c>
      <c r="R209" s="146" t="s">
        <v>57</v>
      </c>
    </row>
    <row r="210" spans="1:19" ht="15.75" thickTop="1" x14ac:dyDescent="0.25">
      <c r="A210" s="8"/>
      <c r="B210" s="9"/>
      <c r="C210" s="1"/>
      <c r="D210" s="60" t="s">
        <v>84</v>
      </c>
      <c r="E210" s="17"/>
      <c r="F210" s="90" t="str">
        <f t="shared" si="18"/>
        <v xml:space="preserve">*obligatorisk </v>
      </c>
      <c r="G210" s="223"/>
      <c r="H210" s="49"/>
      <c r="I210" s="1"/>
      <c r="J210" s="9"/>
      <c r="K210" s="8"/>
      <c r="N210" s="154">
        <f>IFERROR(IF(E210="",1,IF(E210=Innstillinger!$B$8,1,IF(E210/1&lt;0,2,0))),3)</f>
        <v>1</v>
      </c>
      <c r="O210" s="124" t="str">
        <f>IF(N210=1,$P$6,"")</f>
        <v xml:space="preserve">*obligatorisk </v>
      </c>
      <c r="P210" s="146" t="s">
        <v>57</v>
      </c>
      <c r="Q210" s="146" t="s">
        <v>57</v>
      </c>
      <c r="R210" s="146" t="s">
        <v>57</v>
      </c>
    </row>
    <row r="211" spans="1:19" x14ac:dyDescent="0.25">
      <c r="A211" s="8"/>
      <c r="B211" s="9"/>
      <c r="C211" s="1"/>
      <c r="D211" s="69" t="s">
        <v>85</v>
      </c>
      <c r="E211" s="14"/>
      <c r="F211" s="224" t="str">
        <f>O211</f>
        <v/>
      </c>
      <c r="G211" s="225"/>
      <c r="H211" s="225"/>
      <c r="I211" s="1"/>
      <c r="J211" s="9"/>
      <c r="K211" s="8"/>
      <c r="O211" s="124" t="str">
        <f>IF(N211=1,$P$6,"")</f>
        <v/>
      </c>
      <c r="P211" s="146" t="s">
        <v>57</v>
      </c>
      <c r="Q211" s="146" t="s">
        <v>57</v>
      </c>
      <c r="R211" s="146" t="s">
        <v>57</v>
      </c>
    </row>
    <row r="212" spans="1:19" x14ac:dyDescent="0.25">
      <c r="A212" s="8"/>
      <c r="B212" s="9"/>
      <c r="C212" s="1"/>
      <c r="D212" s="66"/>
      <c r="E212" s="14"/>
      <c r="F212" s="149"/>
      <c r="J212" s="9"/>
      <c r="K212" s="8"/>
      <c r="N212" s="47"/>
      <c r="O212" s="47"/>
      <c r="P212" s="136"/>
      <c r="R212" t="s">
        <v>57</v>
      </c>
      <c r="S212" s="121"/>
    </row>
    <row r="213" spans="1:19" ht="16.5" thickBot="1" x14ac:dyDescent="0.35">
      <c r="A213" s="8"/>
      <c r="B213" s="9"/>
      <c r="C213" s="67"/>
      <c r="D213" s="3" t="s">
        <v>109</v>
      </c>
      <c r="E213" s="87"/>
      <c r="F213" s="153" t="str">
        <f t="shared" ref="F213:F214" si="19">O213</f>
        <v xml:space="preserve">*obligatorisk </v>
      </c>
      <c r="I213" s="67"/>
      <c r="J213" s="9"/>
      <c r="K213" s="8"/>
      <c r="N213" s="154">
        <f>IFERROR(IF(E213="",1,IF(E213=Innstillinger!$B$8,1,IF(E213/1&lt;0,2,0))),3)</f>
        <v>1</v>
      </c>
      <c r="O213" s="124" t="str">
        <f>IF(E213="",$P$6,IF(E213=0,P213,""))</f>
        <v xml:space="preserve">*obligatorisk </v>
      </c>
      <c r="P213" s="168" t="s">
        <v>110</v>
      </c>
      <c r="Q213" s="146" t="s">
        <v>57</v>
      </c>
      <c r="R213" s="146" t="s">
        <v>57</v>
      </c>
      <c r="S213" s="114"/>
    </row>
    <row r="214" spans="1:19" ht="16.5" thickTop="1" thickBot="1" x14ac:dyDescent="0.3">
      <c r="A214" s="8"/>
      <c r="B214" s="9"/>
      <c r="C214" s="1"/>
      <c r="D214" s="3" t="s">
        <v>225</v>
      </c>
      <c r="E214" s="87"/>
      <c r="F214" s="265" t="str">
        <f t="shared" si="19"/>
        <v xml:space="preserve">*obligatorisk </v>
      </c>
      <c r="G214" s="265"/>
      <c r="H214" s="265"/>
      <c r="I214" s="144"/>
      <c r="J214" s="9"/>
      <c r="K214" s="8"/>
      <c r="M214" s="154">
        <f>IFERROR(VLOOKUP(E214,Innstillinger!B271:C274,2,FALSE),50)</f>
        <v>50</v>
      </c>
      <c r="N214" s="154">
        <f>IFERROR(IF(E214="",1,IF(E214=Innstillinger!$B$8,1,IF(AND(E213&gt;0,(E213-E214)/1&lt;0),0,0))),3)</f>
        <v>1</v>
      </c>
      <c r="O214" s="124" t="str">
        <f>IF(E214="",$P$6,IF(AND(E213&gt;0,(E213-E214)/1&lt;0),P214,""))</f>
        <v xml:space="preserve">*obligatorisk </v>
      </c>
      <c r="P214" s="168" t="str">
        <f>"⚠️Dere søker om flere timer ("&amp;ROUND(E214,0)&amp;" timer), enn det PPT tilråder ("&amp;ROUND(E213,0)&amp;" timer). Forklare i kommentarfeltet hvorfor dere søker på flere timer enn tilrådet."</f>
        <v>⚠️Dere søker om flere timer (0 timer), enn det PPT tilråder (0 timer). Forklare i kommentarfeltet hvorfor dere søker på flere timer enn tilrådet.</v>
      </c>
      <c r="Q214" s="146" t="s">
        <v>57</v>
      </c>
      <c r="R214" s="146" t="s">
        <v>57</v>
      </c>
      <c r="S214" s="121"/>
    </row>
    <row r="215" spans="1:19" ht="15.75" thickTop="1" x14ac:dyDescent="0.25">
      <c r="A215" s="8"/>
      <c r="B215" s="9"/>
      <c r="C215" s="1"/>
      <c r="D215" s="3"/>
      <c r="E215" s="14"/>
      <c r="F215" s="265"/>
      <c r="G215" s="265"/>
      <c r="H215" s="265"/>
      <c r="J215" s="9"/>
      <c r="K215" s="8"/>
    </row>
    <row r="216" spans="1:19" x14ac:dyDescent="0.25">
      <c r="A216" s="8"/>
      <c r="B216" s="9"/>
      <c r="C216" s="1"/>
      <c r="D216" s="3"/>
      <c r="E216" s="148"/>
      <c r="F216" s="160"/>
      <c r="J216" s="9"/>
      <c r="K216" s="8"/>
      <c r="N216" s="122" t="s">
        <v>87</v>
      </c>
      <c r="O216" s="122" t="s">
        <v>74</v>
      </c>
      <c r="P216" s="122" t="s">
        <v>75</v>
      </c>
      <c r="Q216" s="122" t="s">
        <v>76</v>
      </c>
      <c r="R216" s="122"/>
      <c r="S216" s="121"/>
    </row>
    <row r="217" spans="1:19" ht="15.75" thickBot="1" x14ac:dyDescent="0.3">
      <c r="A217" s="8"/>
      <c r="B217" s="9"/>
      <c r="C217" s="1"/>
      <c r="D217" s="3" t="s">
        <v>226</v>
      </c>
      <c r="E217" s="116" t="str">
        <f>IF(N217="skjul","",E214/VLOOKUP(E203,Innstillinger!$B$14:$C$19,2,FALSE))</f>
        <v/>
      </c>
      <c r="F217" s="213" t="str">
        <f>O217</f>
        <v/>
      </c>
      <c r="J217" s="9"/>
      <c r="K217" s="8"/>
      <c r="N217" s="123" t="str">
        <f>IF(N203+N205+N212+N207+N208+N209+N213+N214=0,"vis","skjul")</f>
        <v>skjul</v>
      </c>
      <c r="O217" s="124" t="str">
        <f>IF(AND(F226=TRUE,N217="vis"),Q217,"")</f>
        <v/>
      </c>
      <c r="P217" s="146" t="s">
        <v>57</v>
      </c>
      <c r="Q217" s="169" t="str">
        <f>"➡️ "&amp;TEXT(E217,"#%")&amp;" stilling  =  "&amp;E213&amp;" faktiske arbeidstimer/uke   ÷   "&amp;M212&amp;"  alminnelig arbeidstid/uke"</f>
        <v>➡️  stilling  =   faktiske arbeidstimer/uke   ÷     alminnelig arbeidstid/uke</v>
      </c>
      <c r="R217" s="146" t="s">
        <v>57</v>
      </c>
      <c r="S217" s="121"/>
    </row>
    <row r="218" spans="1:19" ht="16.5" thickTop="1" thickBot="1" x14ac:dyDescent="0.3">
      <c r="A218" s="8"/>
      <c r="B218" s="9"/>
      <c r="C218" s="1"/>
      <c r="D218" s="3" t="s">
        <v>227</v>
      </c>
      <c r="E218" s="133" t="str">
        <f>IF(N217="skjul","",IF(E201=Innstillinger!B194,'Lønn med undervisningstid'!E207*1500/'Lønn med undervisningstid'!M203/1687.5,E207*1400*100/M203/1687.5/112))</f>
        <v/>
      </c>
      <c r="F218" s="213" t="str">
        <f>O218</f>
        <v/>
      </c>
      <c r="G218" s="144"/>
      <c r="H218" s="144"/>
      <c r="I218" s="144"/>
      <c r="J218" s="9"/>
      <c r="K218" s="8"/>
      <c r="M218" s="175" t="e">
        <f>IF(E201=Innstillinger!B194,'Lønn med undervisningstid'!E207*1500/'Lønn med undervisningstid'!M203/1687.5,E207*1400*100/M203/1687.5/112)</f>
        <v>#DIV/0!</v>
      </c>
      <c r="N218" s="123" t="str">
        <f>N217</f>
        <v>skjul</v>
      </c>
      <c r="O218" s="124" t="str">
        <f>IF(AND(F226=TRUE,N218="vis"),IF(E201=Innstillinger!B194,P218,Q218),"")</f>
        <v/>
      </c>
      <c r="P218" s="169" t="str">
        <f>"➡️ "&amp;TEXT(E218,"# ##0,#0")&amp;" kroner per time  =  "&amp;TEXT(E207,"# ##0")&amp;" kroner årslønn x 1500 ÷  ("&amp;M203&amp;" årsramme x 1687,5), i Oslo kommune"</f>
        <v>➡️  kroner per time  =  0 kroner årslønn x 1500 ÷  (0 årsramme x 1687,5), i Oslo kommune</v>
      </c>
      <c r="Q218" s="169" t="str">
        <f>"➡️ "&amp;TEXT(E218,"# ##0,#0")&amp;" kroner per time  =  "&amp;TEXT(E207,"# ##0")&amp;" kroner årslønn x 1400 x 100 ÷  ("&amp;M203&amp;" årsramme x 1687,5 x 112), i KS-området"</f>
        <v>➡️  kroner per time  =  0 kroner årslønn x 1400 x 100 ÷  (0 årsramme x 1687,5 x 112), i KS-området</v>
      </c>
      <c r="R218" s="146" t="s">
        <v>57</v>
      </c>
      <c r="S218" s="121"/>
    </row>
    <row r="219" spans="1:19" ht="16.5" thickTop="1" thickBot="1" x14ac:dyDescent="0.3">
      <c r="A219" s="8"/>
      <c r="B219" s="9"/>
      <c r="C219" s="1"/>
      <c r="D219" s="3" t="s">
        <v>228</v>
      </c>
      <c r="E219" s="115" t="str">
        <f>IF(N219="skjul","",(E218*(1+E208+E209+(E208*E209))*(1+E210)))</f>
        <v/>
      </c>
      <c r="F219" s="213" t="str">
        <f>O219</f>
        <v/>
      </c>
      <c r="G219" s="120"/>
      <c r="H219" s="120"/>
      <c r="I219" s="120"/>
      <c r="J219" s="9"/>
      <c r="K219" s="8"/>
      <c r="M219" s="5"/>
      <c r="N219" s="123" t="str">
        <f>N218</f>
        <v>skjul</v>
      </c>
      <c r="O219" s="124" t="str">
        <f>IF(AND(F226=TRUE,N219="vis"),Q219,"")</f>
        <v/>
      </c>
      <c r="P219" s="146" t="s">
        <v>57</v>
      </c>
      <c r="Q219" s="169" t="str">
        <f>"➡️ "&amp;TEXT(E219,"# ##0,##")&amp;" kroner per time  =  "&amp;TEXT(E218,"# ##0,##")&amp;" timelønn  x  sosiale utgifter"</f>
        <v>➡️  kroner per time  =   timelønn  x  sosiale utgifter</v>
      </c>
      <c r="R219" s="146" t="s">
        <v>57</v>
      </c>
      <c r="S219" s="121"/>
    </row>
    <row r="220" spans="1:19" ht="15.75" thickTop="1" x14ac:dyDescent="0.25">
      <c r="A220" s="8"/>
      <c r="B220" s="9"/>
      <c r="C220" s="1"/>
      <c r="D220" s="3"/>
      <c r="E220" s="4"/>
      <c r="F220" s="159"/>
      <c r="J220" s="9"/>
      <c r="K220" s="8"/>
      <c r="M220" s="5"/>
      <c r="P220" s="136"/>
      <c r="Q220" s="136"/>
      <c r="R220" s="136" t="s">
        <v>57</v>
      </c>
      <c r="S220" s="121"/>
    </row>
    <row r="221" spans="1:19" ht="15.75" thickBot="1" x14ac:dyDescent="0.3">
      <c r="A221" s="8"/>
      <c r="B221" s="9"/>
      <c r="C221" s="1"/>
      <c r="D221" s="3" t="s">
        <v>89</v>
      </c>
      <c r="E221" s="35" t="str">
        <f>IF(N221="skjul","",E218*E214)</f>
        <v/>
      </c>
      <c r="F221" s="213" t="str">
        <f>O221</f>
        <v/>
      </c>
      <c r="G221" s="60"/>
      <c r="H221" s="60"/>
      <c r="I221" s="1"/>
      <c r="J221" s="9"/>
      <c r="K221" s="8"/>
      <c r="L221" s="144"/>
      <c r="N221" s="123" t="str">
        <f>N217</f>
        <v>skjul</v>
      </c>
      <c r="O221" s="124" t="str">
        <f>IF(AND(F226=TRUE,N221="vis"),Q221,"")</f>
        <v/>
      </c>
      <c r="P221" s="146" t="s">
        <v>57</v>
      </c>
      <c r="Q221" s="169" t="str">
        <f>"➡️ "&amp;TEXT(E221,"# ##0")&amp;" kroner lønn uten feriepenger  =  "&amp;TEXT(E218,"#,##")&amp;" timelønn  x  "&amp;E213&amp;" timer per uke   x   "&amp;E214&amp;" uker"</f>
        <v>➡️  kroner lønn uten feriepenger  =   timelønn  x   timer per uke   x    uker</v>
      </c>
      <c r="R221" s="146" t="s">
        <v>57</v>
      </c>
    </row>
    <row r="222" spans="1:19" ht="16.5" thickTop="1" thickBot="1" x14ac:dyDescent="0.3">
      <c r="A222" s="8"/>
      <c r="B222" s="9"/>
      <c r="C222" s="1"/>
      <c r="D222" s="3" t="s">
        <v>30</v>
      </c>
      <c r="E222" s="36" t="str">
        <f>IF(N221="skjul","",(E221)*E208)</f>
        <v/>
      </c>
      <c r="F222" s="213" t="str">
        <f>O222</f>
        <v/>
      </c>
      <c r="G222" s="60"/>
      <c r="H222" s="60"/>
      <c r="I222" s="1"/>
      <c r="J222" s="9"/>
      <c r="K222" s="8"/>
      <c r="L222" s="144"/>
      <c r="N222" s="123" t="str">
        <f>N217</f>
        <v>skjul</v>
      </c>
      <c r="O222" s="124" t="str">
        <f>IF(AND(F226=TRUE,N222="vis"),Q222,"")</f>
        <v/>
      </c>
      <c r="P222" s="146" t="s">
        <v>57</v>
      </c>
      <c r="Q222" s="169" t="str">
        <f>"➡️ "&amp;TEXT(E222,"# ##0")&amp;" kroner lønn uten feriepenger  =  "&amp;TEXT(E221,"# ##0")&amp;" lønn  x  "&amp;TEXT(E207,"#,0 %")&amp;" feriepenger sats"</f>
        <v>➡️  kroner lønn uten feriepenger  =   lønn  x  ,0 % feriepenger sats</v>
      </c>
      <c r="R222" s="146" t="s">
        <v>57</v>
      </c>
    </row>
    <row r="223" spans="1:19" ht="16.5" thickTop="1" thickBot="1" x14ac:dyDescent="0.3">
      <c r="A223" s="8"/>
      <c r="B223" s="9"/>
      <c r="C223" s="1"/>
      <c r="D223" s="3" t="s">
        <v>90</v>
      </c>
      <c r="E223" s="36" t="str">
        <f>IF(N221="skjul","",(E221+E222)*E209)</f>
        <v/>
      </c>
      <c r="F223" s="213" t="str">
        <f>O223</f>
        <v/>
      </c>
      <c r="G223" s="60"/>
      <c r="H223" s="60"/>
      <c r="I223" s="1"/>
      <c r="J223" s="9"/>
      <c r="K223" s="8"/>
      <c r="L223" s="144"/>
      <c r="M223" s="144"/>
      <c r="N223" s="123" t="str">
        <f>N217</f>
        <v>skjul</v>
      </c>
      <c r="O223" s="124" t="str">
        <f>IF(AND(F226=TRUE,N223="vis"),Q223,"")</f>
        <v/>
      </c>
      <c r="P223" s="146" t="s">
        <v>57</v>
      </c>
      <c r="Q223" s="169" t="str">
        <f>"➡️ "&amp;TEXT(E223,"# ##0")&amp;" kroner pensjon  =  ("&amp;TEXT(E221,"# ##0")&amp;" lønn + "&amp;TEXT(E222,"# ##0")&amp;" feriepenger)  x  "&amp;TEXT(E208,"#,0 %")&amp;" pensjon sats"</f>
        <v>➡️  kroner pensjon  =  ( lønn +  feriepenger)  x  ,0 % pensjon sats</v>
      </c>
      <c r="R223" s="146" t="s">
        <v>57</v>
      </c>
    </row>
    <row r="224" spans="1:19" ht="16.5" customHeight="1" thickTop="1" x14ac:dyDescent="0.25">
      <c r="A224" s="8"/>
      <c r="B224" s="9"/>
      <c r="C224" s="1"/>
      <c r="D224" s="3" t="s">
        <v>22</v>
      </c>
      <c r="E224" s="37" t="str">
        <f>IF(N221="skjul","",(E221+E222+E223)*E210)</f>
        <v/>
      </c>
      <c r="F224" s="213" t="str">
        <f>O224</f>
        <v/>
      </c>
      <c r="G224" s="60"/>
      <c r="H224" s="60"/>
      <c r="I224" s="1"/>
      <c r="J224" s="9"/>
      <c r="K224" s="8"/>
      <c r="L224" s="144"/>
      <c r="N224" s="123" t="str">
        <f>N217</f>
        <v>skjul</v>
      </c>
      <c r="O224" s="124" t="str">
        <f>IF(AND(F226=TRUE,N224="vis"),Q224,"")</f>
        <v/>
      </c>
      <c r="P224" s="146" t="s">
        <v>57</v>
      </c>
      <c r="Q224" s="169" t="str">
        <f>"➡️ "&amp;TEXT(E224,"# ##0")&amp;" kroner arbeidsgiveravgift =  ("&amp;TEXT(E221,"# ##0")&amp;" lønn + "&amp;TEXT(E222,"# ##0")&amp;" feriepenger + "&amp;TEXT(E223,"# ##0")&amp;" pensjon)  x  "&amp;TEXT(E209,"#,0 %")&amp;" aga sats"</f>
        <v>➡️  kroner arbeidsgiveravgift =  ( lønn +  feriepenger +  pensjon)  x  ,0 % aga sats</v>
      </c>
      <c r="R224" s="146" t="s">
        <v>57</v>
      </c>
    </row>
    <row r="225" spans="1:19" ht="6" customHeight="1" x14ac:dyDescent="0.25">
      <c r="A225" s="8"/>
      <c r="B225" s="9"/>
      <c r="C225" s="1"/>
      <c r="D225" s="3"/>
      <c r="E225" s="4"/>
      <c r="F225" s="185"/>
      <c r="G225" s="60"/>
      <c r="H225" s="60"/>
      <c r="I225" s="1"/>
      <c r="J225" s="9"/>
      <c r="K225" s="8"/>
      <c r="N225" s="47"/>
    </row>
    <row r="226" spans="1:19" ht="18.75" customHeight="1" x14ac:dyDescent="0.3">
      <c r="A226" s="8"/>
      <c r="B226" s="10"/>
      <c r="C226" s="11"/>
      <c r="D226" s="12" t="s">
        <v>92</v>
      </c>
      <c r="E226" s="13" t="str">
        <f>IFERROR(E221+E222+E223+E224,"")</f>
        <v/>
      </c>
      <c r="F226" s="241" t="b">
        <v>0</v>
      </c>
      <c r="G226" s="182" t="s">
        <v>93</v>
      </c>
      <c r="I226" s="11"/>
      <c r="J226" s="10"/>
      <c r="K226" s="8"/>
      <c r="L226" s="5"/>
      <c r="N226" s="123" t="str">
        <f>N217</f>
        <v>skjul</v>
      </c>
      <c r="O226" s="124"/>
      <c r="P226" s="146" t="s">
        <v>57</v>
      </c>
      <c r="Q226" s="169"/>
      <c r="R226" s="146" t="s">
        <v>57</v>
      </c>
    </row>
    <row r="227" spans="1:19" s="11" customFormat="1" ht="19.5" customHeight="1" x14ac:dyDescent="0.25">
      <c r="A227" s="8"/>
      <c r="B227" s="10"/>
      <c r="C227" s="98"/>
      <c r="D227" s="137" t="s">
        <v>91</v>
      </c>
      <c r="E227" s="138" t="str">
        <f>IFERROR(E226/E199,"")</f>
        <v/>
      </c>
      <c r="F227" s="213"/>
      <c r="G227" s="186"/>
      <c r="H227" s="186"/>
      <c r="I227" s="98"/>
      <c r="J227" s="10"/>
      <c r="K227" s="8"/>
      <c r="L227" s="226"/>
      <c r="N227" s="123" t="str">
        <f>N217</f>
        <v>skjul</v>
      </c>
      <c r="O227" s="124" t="str">
        <f>IF(AND(F226=TRUE,N227="vis"),Q227,"")</f>
        <v/>
      </c>
      <c r="P227" s="146" t="s">
        <v>57</v>
      </c>
      <c r="Q227" s="169" t="str">
        <f>"➡️ "&amp;TEXT(E227,"# ##0")&amp;" kroner totale =  "&amp;TEXT(E221,"# ##0")&amp;" lønn + "&amp;TEXT(E222,"# ##0")&amp;" fp + "&amp;TEXT(E223,"# ##0")&amp;" pensjon + "&amp;TEXT(E224,"# ##0")&amp;" arbeidsgiveravgift"</f>
        <v>➡️  kroner totale =   lønn +  fp +  pensjon +  arbeidsgiveravgift</v>
      </c>
      <c r="R227" s="146" t="s">
        <v>57</v>
      </c>
    </row>
    <row r="228" spans="1:19" x14ac:dyDescent="0.25">
      <c r="A228" s="8"/>
      <c r="B228" s="9"/>
      <c r="E228" s="5"/>
      <c r="F228" s="117"/>
      <c r="J228" s="9"/>
      <c r="K228" s="8"/>
      <c r="S228" s="121"/>
    </row>
    <row r="229" spans="1:19" x14ac:dyDescent="0.25">
      <c r="A229" s="8"/>
      <c r="B229" s="9"/>
      <c r="E229" s="5"/>
      <c r="F229" s="117"/>
      <c r="J229" s="9"/>
      <c r="K229" s="8"/>
      <c r="S229" s="121"/>
    </row>
    <row r="230" spans="1:19" x14ac:dyDescent="0.25">
      <c r="A230" s="8"/>
      <c r="B230" s="9"/>
      <c r="D230" s="3" t="s">
        <v>94</v>
      </c>
      <c r="E230" s="5"/>
      <c r="F230" s="117"/>
      <c r="J230" s="9"/>
      <c r="K230" s="8"/>
      <c r="S230" s="121"/>
    </row>
    <row r="231" spans="1:19" x14ac:dyDescent="0.25">
      <c r="A231" s="8"/>
      <c r="B231" s="9"/>
      <c r="D231" s="258"/>
      <c r="E231" s="259"/>
      <c r="F231" s="259"/>
      <c r="G231" s="259"/>
      <c r="H231" s="260"/>
      <c r="I231" s="162"/>
      <c r="J231" s="9"/>
      <c r="K231" s="8"/>
    </row>
    <row r="232" spans="1:19" x14ac:dyDescent="0.25">
      <c r="A232" s="8"/>
      <c r="B232" s="9"/>
      <c r="D232" s="252"/>
      <c r="E232" s="253"/>
      <c r="F232" s="253"/>
      <c r="G232" s="253"/>
      <c r="H232" s="254"/>
      <c r="I232" s="162"/>
      <c r="J232" s="9"/>
      <c r="K232" s="8"/>
    </row>
    <row r="233" spans="1:19" x14ac:dyDescent="0.25">
      <c r="A233" s="8"/>
      <c r="B233" s="9"/>
      <c r="D233" s="252"/>
      <c r="E233" s="253"/>
      <c r="F233" s="253"/>
      <c r="G233" s="253"/>
      <c r="H233" s="254"/>
      <c r="I233" s="162"/>
      <c r="J233" s="9"/>
      <c r="K233" s="8"/>
    </row>
    <row r="234" spans="1:19" x14ac:dyDescent="0.25">
      <c r="A234" s="8"/>
      <c r="B234" s="9"/>
      <c r="D234" s="252"/>
      <c r="E234" s="253"/>
      <c r="F234" s="253"/>
      <c r="G234" s="253"/>
      <c r="H234" s="254"/>
      <c r="I234" s="162"/>
      <c r="J234" s="9"/>
      <c r="K234" s="8"/>
    </row>
    <row r="235" spans="1:19" x14ac:dyDescent="0.25">
      <c r="A235" s="8"/>
      <c r="B235" s="9"/>
      <c r="D235" s="252"/>
      <c r="E235" s="253"/>
      <c r="F235" s="253"/>
      <c r="G235" s="253"/>
      <c r="H235" s="254"/>
      <c r="I235" s="162"/>
      <c r="J235" s="9"/>
      <c r="K235" s="8"/>
    </row>
    <row r="236" spans="1:19" x14ac:dyDescent="0.25">
      <c r="A236" s="8"/>
      <c r="B236" s="9"/>
      <c r="D236" s="255"/>
      <c r="E236" s="256"/>
      <c r="F236" s="256"/>
      <c r="G236" s="256"/>
      <c r="H236" s="257"/>
      <c r="I236" s="162"/>
      <c r="J236" s="9"/>
      <c r="K236" s="8"/>
    </row>
    <row r="237" spans="1:19" x14ac:dyDescent="0.25">
      <c r="A237" s="8"/>
      <c r="B237" s="9"/>
      <c r="E237" s="5"/>
      <c r="F237" s="117"/>
      <c r="J237" s="9"/>
      <c r="K237" s="8"/>
    </row>
    <row r="238" spans="1:19" x14ac:dyDescent="0.25">
      <c r="A238" s="8"/>
      <c r="B238" s="9"/>
      <c r="C238" s="9"/>
      <c r="D238" s="9"/>
      <c r="E238" s="9"/>
      <c r="F238" s="92"/>
      <c r="G238" s="9"/>
      <c r="H238" s="9"/>
      <c r="I238" s="9"/>
      <c r="J238" s="9"/>
      <c r="K238" s="8"/>
    </row>
    <row r="239" spans="1:19" x14ac:dyDescent="0.25">
      <c r="A239" s="8"/>
      <c r="B239" s="9"/>
      <c r="C239" s="9"/>
      <c r="D239" s="9"/>
      <c r="E239" s="9"/>
      <c r="F239" s="92"/>
      <c r="G239" s="9"/>
      <c r="H239" s="9"/>
      <c r="I239" s="9"/>
      <c r="J239" s="9"/>
      <c r="K239" s="8"/>
    </row>
    <row r="240" spans="1:19" ht="6" customHeight="1" x14ac:dyDescent="0.25">
      <c r="A240" s="8"/>
      <c r="B240" s="8"/>
      <c r="C240" s="8"/>
      <c r="D240" s="8"/>
      <c r="E240" s="8"/>
      <c r="F240" s="91"/>
      <c r="G240" s="8"/>
      <c r="H240" s="8"/>
      <c r="I240" s="8"/>
      <c r="J240" s="8"/>
      <c r="K240" s="8"/>
    </row>
  </sheetData>
  <sheetProtection sheet="1" objects="1" scenarios="1"/>
  <mergeCells count="30">
    <mergeCell ref="D47:H48"/>
    <mergeCell ref="D49:H50"/>
    <mergeCell ref="D51:H52"/>
    <mergeCell ref="D5:E5"/>
    <mergeCell ref="D6:E6"/>
    <mergeCell ref="G6:H6"/>
    <mergeCell ref="D7:E7"/>
    <mergeCell ref="G7:H8"/>
    <mergeCell ref="F30:H31"/>
    <mergeCell ref="F21:H23"/>
    <mergeCell ref="F67:H69"/>
    <mergeCell ref="F76:H77"/>
    <mergeCell ref="D93:H94"/>
    <mergeCell ref="D95:H96"/>
    <mergeCell ref="D97:H98"/>
    <mergeCell ref="F113:H115"/>
    <mergeCell ref="F122:H123"/>
    <mergeCell ref="D139:H140"/>
    <mergeCell ref="D141:H142"/>
    <mergeCell ref="D143:H144"/>
    <mergeCell ref="F159:H161"/>
    <mergeCell ref="F168:H169"/>
    <mergeCell ref="D185:H186"/>
    <mergeCell ref="D187:H188"/>
    <mergeCell ref="D189:H190"/>
    <mergeCell ref="F205:H207"/>
    <mergeCell ref="F214:H215"/>
    <mergeCell ref="D231:H232"/>
    <mergeCell ref="D233:H234"/>
    <mergeCell ref="D235:H236"/>
  </mergeCells>
  <conditionalFormatting sqref="E32:E33">
    <cfRule type="expression" dxfId="24" priority="96">
      <formula>OR(E32=#REF!,E32=#REF!,E32=#REF!,E32=#REF!&amp;#REF!)</formula>
    </cfRule>
  </conditionalFormatting>
  <conditionalFormatting sqref="E78:E79">
    <cfRule type="expression" dxfId="21" priority="16">
      <formula>OR(E78=#REF!,E78=#REF!,E78=#REF!,E78=#REF!&amp;#REF!)</formula>
    </cfRule>
  </conditionalFormatting>
  <conditionalFormatting sqref="E124:E125">
    <cfRule type="expression" dxfId="18" priority="12">
      <formula>OR(E124=#REF!,E124=#REF!,E124=#REF!,E124=#REF!&amp;#REF!)</formula>
    </cfRule>
  </conditionalFormatting>
  <conditionalFormatting sqref="E170:E171">
    <cfRule type="expression" dxfId="15" priority="8">
      <formula>OR(E170=#REF!,E170=#REF!,E170=#REF!,E170=#REF!&amp;#REF!)</formula>
    </cfRule>
  </conditionalFormatting>
  <conditionalFormatting sqref="E216:E217">
    <cfRule type="expression" dxfId="12" priority="4">
      <formula>OR(E216=#REF!,E216=#REF!,E216=#REF!,E216=#REF!&amp;#REF!)</formula>
    </cfRule>
  </conditionalFormatting>
  <conditionalFormatting sqref="F13:H31">
    <cfRule type="expression" dxfId="11" priority="25">
      <formula>N13&gt;0</formula>
    </cfRule>
  </conditionalFormatting>
  <conditionalFormatting sqref="F59:H77">
    <cfRule type="expression" dxfId="10" priority="13">
      <formula>N59&gt;0</formula>
    </cfRule>
  </conditionalFormatting>
  <conditionalFormatting sqref="F105:H123">
    <cfRule type="expression" dxfId="9" priority="9">
      <formula>N105&gt;0</formula>
    </cfRule>
  </conditionalFormatting>
  <conditionalFormatting sqref="F151:H169">
    <cfRule type="expression" dxfId="8" priority="5">
      <formula>N151&gt;0</formula>
    </cfRule>
  </conditionalFormatting>
  <conditionalFormatting sqref="F197:H215">
    <cfRule type="expression" dxfId="7" priority="1">
      <formula>N197&gt;0</formula>
    </cfRule>
  </conditionalFormatting>
  <dataValidations count="16">
    <dataValidation allowBlank="1" showInputMessage="1" showErrorMessage="1" promptTitle="Årsramme" prompt="Årsramme er antall timer man skal undervise i et fag for at det skal utgjøre en 100 % stilling." sqref="C19:C20 C65:C66 C111:C112 C157:C158 C203:C204" xr:uid="{E80526F1-FD2C-4805-89E9-9DC89E99038E}"/>
    <dataValidation allowBlank="1" showInputMessage="1" showErrorMessage="1" promptTitle="Antall skoleuker per ett år" prompt="Opplæringsloven fastsetter at opplæringen skal strekke seg over minst 38 skoleuker innenfor en ramme på 45 sammenhengende uker." sqref="C18 C64 C110 C156 C202" xr:uid="{45EC4236-45FC-42FF-96E5-3BE0CDBB201A}"/>
    <dataValidation allowBlank="1" showInputMessage="1" showErrorMessage="1" promptTitle="Tilrådning fra PPT-tjenesten" prompt="En sakkyndig vurdering skal ligge til grunn før kommunen beslutter om personen har rett til spesialpedagogisk hjelp eller ikke gjennom et enkeltvedtak. Den sakkyndige vurderingen skal munne ut i en skriftlig tilrådning fra PPT-tjenesten til kommunen." sqref="C29 C75 C121 C167 C213" xr:uid="{BDC14A2B-EF4D-41D8-BF0D-2AF00CF14E99}"/>
    <dataValidation allowBlank="1" showInputMessage="1" showErrorMessage="1" promptTitle="Tilrådning fra PPT-tjenesten" prompt="(à 60 minutter)_x000a__x000a_Viktig: husk å omregne eventuelle undervisningstimer à 45 minutter til klokketimer._x000a__x000a_Eksempel: _x000a_300 timer totalt à 45 minutter _x000a_= 300 totalt à 45 minutter x 0,75 _x000a_= 225 totalt à 60 minutter" sqref="E29 E75 E121 E167 E213" xr:uid="{8EDE7612-C75E-4401-9E4F-77599D62F0F3}"/>
    <dataValidation allowBlank="1" showInputMessage="1" showErrorMessage="1" promptTitle="Vis denne teksten hvis:" prompt="_x000a_sats pensjon er over 10%." sqref="P25 P71 P117 P163 P209" xr:uid="{503115CF-16FB-4ABD-A257-5DBA7F5B0B4D}"/>
    <dataValidation allowBlank="1" showInputMessage="1" showErrorMessage="1" errorTitle="Ugyldig verdi" error="Arbeidsgivers andel av pensjon må være minst 2% (obligatorisk tjenestepensjon)." sqref="F25 F71 F117 F163 F209" xr:uid="{653AF1CC-E246-432B-A110-C72CE8B49AAB}"/>
    <dataValidation allowBlank="1" showInputMessage="1" showErrorMessage="1" prompt="Dette er beregnet som_x000a__x000a_Årslønn x stillingsprosent x arbeidsuker i tilskuddsperioden / 52 uker, evt._x000a__x000a_Timelønn (før sos. utg) x arbeidstimer per uke x arbeidsuker i tilskuddperioden" sqref="E37 E83 E129 E175 E221" xr:uid="{FF60CA56-2C0D-44A2-97B0-E207212F8F01}"/>
    <dataValidation type="list" allowBlank="1" showInputMessage="1" showErrorMessage="1" errorTitle="Ugyldig verdi" error="Velg mellom 32 uker til 45 uker fra nedtrekksmenyen." promptTitle="Antall skoleuker per år" prompt="Oppgi antall uker skoleåret består av. _x000a__x000a_For grunnskolen er det 38 uker." sqref="E18 E64 E110 E156 E202" xr:uid="{C7553943-0152-44FD-9F83-C27C3E75B296}">
      <formula1>"Velg fra liste....,38,39,40,41,42,43,44,45"</formula1>
    </dataValidation>
    <dataValidation type="list" allowBlank="1" showInputMessage="1" showErrorMessage="1" errorTitle="Ugyldig verdi" error=" Velg mellom 38 til_x000a_" sqref="E18 E64 E110 E156 E202" xr:uid="{9C4F09BF-3053-4585-996E-E95C21C0E288}">
      <formula1>"Velg fra liste…,38,39,40,41,42,43,44,45"</formula1>
    </dataValidation>
    <dataValidation allowBlank="1" showInputMessage="1" showErrorMessage="1" promptTitle="Tiltak" prompt="Oppgi hvilket tiltak i søknaden de(n) ansatte er brukt i, som &quot;spesialundervisning&quot;." sqref="E13 E59 E105 E151 E197" xr:uid="{1D1F222A-A0B7-4761-9F91-DFBDC7A6FEEB}"/>
    <dataValidation type="whole" operator="greaterThanOrEqual" allowBlank="1" showInputMessage="1" showErrorMessage="1" errorTitle="Ugyldig verdi" error="Antall ansatte må kun være tall og minst 1. " promptTitle="Antall ansatte" prompt="Oppgi hvor mange ansatte denne beregningen gjelder for." sqref="E15 E61 E107 E153 E199" xr:uid="{2C86DB3A-FCB8-4CAD-9A7B-E2722BCE1BCC}">
      <formula1>1</formula1>
    </dataValidation>
    <dataValidation type="decimal" errorStyle="information" operator="lessThanOrEqual" allowBlank="1" showInputMessage="1" error="Du oppgir en høy pensjonssats - over 10%. Forklar hvorfor, og vis utregning i kommentarfeltet nederst. " promptTitle="Arbeidsgiversandel av pensjon" prompt="Oppgi arbeidsgivers andel av pensjon._x000a__x000a_Viktig; fjern dette fra satsen: reguleringspremie, premiefond, utjevning, selvrisiko eller egenbetaling pensjon." sqref="E25 E71 E117 E163 E209" xr:uid="{7DADE199-842A-4BD0-9C26-C1C8097EA7D6}">
      <formula1>$P$4</formula1>
    </dataValidation>
    <dataValidation type="whole" operator="greaterThanOrEqual" allowBlank="1" showInputMessage="1" promptTitle="Årslønn" prompt="Skriv den ansattes årslønn (grunnlønn). Gjelder skjemaet flere ansatte, oppgir dere gjennomsnittet av årslønnene. _x000a__x000a_Selv om den ansatte jobber deltid, skal dere oppgi årslønn for full stilling._x000a_" sqref="E23 E69 E115 E161 E207" xr:uid="{7A188104-AB02-4318-A464-D45ABACD1907}">
      <formula1>0</formula1>
    </dataValidation>
    <dataValidation type="decimal" allowBlank="1" showInputMessage="1" showErrorMessage="1" errorTitle="Ugyldig verdi" error="Arbeidstimer per uke skal ikke overstige alminnelig arbeidstid, evt. 50 timer per uke." promptTitle="Antall undervisningstimer" prompt="Oppgi antall timer læreren underviser flyktningen. _x000a__x000a_Gjelder beregningen flere lærere; oppgi totalt antall timer for alle lærere." sqref="E30 E76 E122 E168 E214" xr:uid="{DB28413E-9BB3-4D83-A157-4C491E90CF0F}">
      <formula1>0</formula1>
      <formula2>M29</formula2>
    </dataValidation>
    <dataValidation allowBlank="1" showInputMessage="1" showErrorMessage="1" promptTitle="Stillingstittel" prompt="Oppgi stillingstittelen, som «spesialpedagog»." sqref="E14 E60 E106 E152 E198" xr:uid="{37C4A104-EF93-4C30-81C3-686C91A4C6F3}"/>
    <dataValidation type="list" allowBlank="1" showInputMessage="1" showErrorMessage="1" errorTitle="Ugyldig verdi" error="Velg Oslo kommune eller KS-området fra nedtrekksmenyen." promptTitle="Riktig lønnsområde" prompt="Velg riktig lønnsområde fra listen: &quot;Oslo&quot; eller &quot;KS-området&quot;._x000a__x000a_" sqref="E17 E63 E109 E155 E201" xr:uid="{BF8E62E5-4B1F-423B-8FD3-AD6DF7DF1983}">
      <formula1>Område</formula1>
    </dataValidation>
  </dataValidations>
  <hyperlinks>
    <hyperlink ref="D20" r:id="rId1" xr:uid="{21F3CCFA-CB1F-429F-987F-839292F5FD2C}"/>
    <hyperlink ref="D27" r:id="rId2" display="Finn din kommunes differensierte avgiftssats her" xr:uid="{2BAF8A2E-A24E-4DEB-A71D-38F2270472AA}"/>
    <hyperlink ref="D66" r:id="rId3" xr:uid="{BB53D5C0-A291-433E-B115-622AF2634C45}"/>
    <hyperlink ref="D73" r:id="rId4" display="Finn din kommunes differensierte avgiftssats her" xr:uid="{A408235D-2BC3-4D7B-BBF2-35FB3F19C6DA}"/>
    <hyperlink ref="D112" r:id="rId5" xr:uid="{0527E8A7-8CEF-48AF-8E87-87962C7777DF}"/>
    <hyperlink ref="D119" r:id="rId6" display="Finn din kommunes differensierte avgiftssats her" xr:uid="{3BCFFA2C-E110-4B17-85D1-7F6A987D1E8F}"/>
    <hyperlink ref="D158" r:id="rId7" xr:uid="{A6F735E9-A9D3-473E-9D77-B05792D30F58}"/>
    <hyperlink ref="D165" r:id="rId8" display="Finn din kommunes differensierte avgiftssats her" xr:uid="{64D38348-5769-4EEC-A163-C149BE2BD321}"/>
    <hyperlink ref="D204" r:id="rId9" xr:uid="{9350DB71-0786-40FF-ABD2-E6719A14EE16}"/>
    <hyperlink ref="D211" r:id="rId10" display="Finn din kommunes differensierte avgiftssats her" xr:uid="{61D770E7-C0E8-4FA7-9CF5-85C79D28945B}"/>
  </hyperlinks>
  <pageMargins left="0.7" right="0.7" top="0.75" bottom="0.75" header="0.3" footer="0.3"/>
  <pageSetup paperSize="256" orientation="portrait" r:id="rId11"/>
  <legacyDrawing r:id="rId12"/>
  <extLst>
    <ext xmlns:x14="http://schemas.microsoft.com/office/spreadsheetml/2009/9/main" uri="{78C0D931-6437-407d-A8EE-F0AAD7539E65}">
      <x14:conditionalFormattings>
        <x14:conditionalFormatting xmlns:xm="http://schemas.microsoft.com/office/excel/2006/main">
          <x14:cfRule type="expression" priority="28" id="{E02BF51A-4E73-484D-BAA5-2CE20FBCE372}">
            <xm:f>Innstillinger!$B$19</xm:f>
            <x14:dxf>
              <fill>
                <patternFill>
                  <bgColor theme="0"/>
                </patternFill>
              </fill>
            </x14:dxf>
          </x14:cfRule>
          <xm:sqref>E19</xm:sqref>
        </x14:conditionalFormatting>
        <x14:conditionalFormatting xmlns:xm="http://schemas.microsoft.com/office/excel/2006/main">
          <x14:cfRule type="expression" priority="27" id="{AA6E4135-0E29-4BC4-B708-CC49D3146029}">
            <xm:f>$E$19=Innstillinger!$B$19</xm:f>
            <x14:dxf>
              <fill>
                <patternFill>
                  <bgColor rgb="FFE4EFE4"/>
                </patternFill>
              </fill>
            </x14:dxf>
          </x14:cfRule>
          <xm:sqref>E20</xm:sqref>
        </x14:conditionalFormatting>
        <x14:conditionalFormatting xmlns:xm="http://schemas.microsoft.com/office/excel/2006/main">
          <x14:cfRule type="expression" priority="15" id="{84DA29ED-C11B-4C7F-B542-A3942D31BF5C}">
            <xm:f>Innstillinger!$B$19</xm:f>
            <x14:dxf>
              <fill>
                <patternFill>
                  <bgColor theme="0"/>
                </patternFill>
              </fill>
            </x14:dxf>
          </x14:cfRule>
          <xm:sqref>E65</xm:sqref>
        </x14:conditionalFormatting>
        <x14:conditionalFormatting xmlns:xm="http://schemas.microsoft.com/office/excel/2006/main">
          <x14:cfRule type="expression" priority="14" id="{1CA05C37-F6E9-40C0-93D6-2CEDD18C0B89}">
            <xm:f>$E$19=Innstillinger!$B$19</xm:f>
            <x14:dxf>
              <fill>
                <patternFill>
                  <bgColor rgb="FFE4EFE4"/>
                </patternFill>
              </fill>
            </x14:dxf>
          </x14:cfRule>
          <xm:sqref>E66</xm:sqref>
        </x14:conditionalFormatting>
        <x14:conditionalFormatting xmlns:xm="http://schemas.microsoft.com/office/excel/2006/main">
          <x14:cfRule type="expression" priority="11" id="{7DF3F5CB-FEE1-4BF3-BD96-33B8586D49EA}">
            <xm:f>Innstillinger!$B$19</xm:f>
            <x14:dxf>
              <fill>
                <patternFill>
                  <bgColor theme="0"/>
                </patternFill>
              </fill>
            </x14:dxf>
          </x14:cfRule>
          <xm:sqref>E111</xm:sqref>
        </x14:conditionalFormatting>
        <x14:conditionalFormatting xmlns:xm="http://schemas.microsoft.com/office/excel/2006/main">
          <x14:cfRule type="expression" priority="10" id="{65E30091-4F66-40EB-8AAA-2DEA3CA511E8}">
            <xm:f>$E$19=Innstillinger!$B$19</xm:f>
            <x14:dxf>
              <fill>
                <patternFill>
                  <bgColor rgb="FFE4EFE4"/>
                </patternFill>
              </fill>
            </x14:dxf>
          </x14:cfRule>
          <xm:sqref>E112</xm:sqref>
        </x14:conditionalFormatting>
        <x14:conditionalFormatting xmlns:xm="http://schemas.microsoft.com/office/excel/2006/main">
          <x14:cfRule type="expression" priority="7" id="{DDCE4812-32B0-4DEE-9C16-467C66FD3072}">
            <xm:f>Innstillinger!$B$19</xm:f>
            <x14:dxf>
              <fill>
                <patternFill>
                  <bgColor theme="0"/>
                </patternFill>
              </fill>
            </x14:dxf>
          </x14:cfRule>
          <xm:sqref>E157</xm:sqref>
        </x14:conditionalFormatting>
        <x14:conditionalFormatting xmlns:xm="http://schemas.microsoft.com/office/excel/2006/main">
          <x14:cfRule type="expression" priority="6" id="{EDFEF372-6092-4AEB-A5ED-B8A6C246DB76}">
            <xm:f>$E$19=Innstillinger!$B$19</xm:f>
            <x14:dxf>
              <fill>
                <patternFill>
                  <bgColor rgb="FFE4EFE4"/>
                </patternFill>
              </fill>
            </x14:dxf>
          </x14:cfRule>
          <xm:sqref>E158</xm:sqref>
        </x14:conditionalFormatting>
        <x14:conditionalFormatting xmlns:xm="http://schemas.microsoft.com/office/excel/2006/main">
          <x14:cfRule type="expression" priority="3" id="{9285894C-68AD-4017-970C-DA38ED1D0EDC}">
            <xm:f>Innstillinger!$B$19</xm:f>
            <x14:dxf>
              <fill>
                <patternFill>
                  <bgColor theme="0"/>
                </patternFill>
              </fill>
            </x14:dxf>
          </x14:cfRule>
          <xm:sqref>E203</xm:sqref>
        </x14:conditionalFormatting>
        <x14:conditionalFormatting xmlns:xm="http://schemas.microsoft.com/office/excel/2006/main">
          <x14:cfRule type="expression" priority="2" id="{9DBE2218-E589-4F90-AAA5-B3F3502046A1}">
            <xm:f>$E$19=Innstillinger!$B$19</xm:f>
            <x14:dxf>
              <fill>
                <patternFill>
                  <bgColor rgb="FFE4EFE4"/>
                </patternFill>
              </fill>
            </x14:dxf>
          </x14:cfRule>
          <xm:sqref>E204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Ugyldig verdi" error="Velg årsramme fra nedtrekksmenyen." promptTitle="Årsramme (à 60 minutter)" prompt="Velg riktig årsramme fra listen. Husk å omregne eventuelle 45 minutters timer til hele klokketimer." xr:uid="{9DC9BECD-3F2F-4E48-A009-AE6B68D08473}">
          <x14:formula1>
            <xm:f>Innstillinger!$B$14:$B$19</xm:f>
          </x14:formula1>
          <xm:sqref>E19 E65 E111 E157 E203</xm:sqref>
        </x14:dataValidation>
        <x14:dataValidation type="list" allowBlank="1" showInputMessage="1" showErrorMessage="1" errorTitle="Ugyldig verdi" error="Velg riktig sats fra nedtrekksmenyen._x000a__x000a_Sone   Sats _x000a_I           14,1 %_x000a_II          10,6 %_x000a_III           6,4 %_x000a_IV           5,1 %_x000a_IVa         7,9 %_x000a_V            0,0 %_x000a_" promptTitle="Arbeidsgiveravgift" prompt="Oppgi satsen for arbeidsgiveravgift for kommune deres. Arbeidsgiveravgiften er regionalt differensiert og fastsettes av Stortinget hvert år. _x000a__x000a_Klikk på linken til venstre for å finne riktig arbeidsgiveravgift for kommunen deres._x000a_" xr:uid="{085E93FD-2CC0-48A6-94B1-E9AF577C6FC6}">
          <x14:formula1>
            <xm:f>Innstillinger!$B$48:$B$54</xm:f>
          </x14:formula1>
          <xm:sqref>E26 E72 E118 E164 E210</xm:sqref>
        </x14:dataValidation>
        <x14:dataValidation type="list" allowBlank="1" showInputMessage="1" showErrorMessage="1" errorTitle="Ugyldig verdi" error="Feriepengersatsen må være 12% eller 14,2% av feriepengegrunnlaget. _x000a__x000a_Velg fra nedtrekksmenyen." promptTitle="Feriepenger" prompt="Velg &quot;12 %&quot; eller &quot;14,3 %&quot; - feriepengegrunnlag._x000a__x000a_Det vanligste er 12 %. 14,3 % brukes for ansatte over 60 år. Denne gruppen har rett på av 14,3 % av feriepengegrunnlaget ved seks ukers ferie." xr:uid="{A2645E32-3F0E-43F1-B495-FAE48F3FB63A}">
          <x14:formula1>
            <xm:f>Innstillinger!$B$58:$B$60</xm:f>
          </x14:formula1>
          <xm:sqref>E24 E70 E116 E162 E208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CF18-C5E9-4F72-A3B7-23E2B055DA7F}">
  <sheetPr codeName="Ark4">
    <tabColor rgb="FFF2E7E7"/>
    <pageSetUpPr autoPageBreaks="0"/>
  </sheetPr>
  <dimension ref="A1:R99"/>
  <sheetViews>
    <sheetView showGridLines="0" zoomScaleNormal="100" workbookViewId="0">
      <pane ySplit="1" topLeftCell="A2" activePane="bottomLeft" state="frozen"/>
      <selection pane="bottomLeft"/>
    </sheetView>
  </sheetViews>
  <sheetFormatPr baseColWidth="10" defaultColWidth="0" defaultRowHeight="0" customHeight="1" zeroHeight="1" x14ac:dyDescent="0.25"/>
  <cols>
    <col min="1" max="1" width="1.42578125" customWidth="1"/>
    <col min="2" max="3" width="4.28515625" customWidth="1"/>
    <col min="4" max="4" width="46" customWidth="1"/>
    <col min="5" max="5" width="28" customWidth="1"/>
    <col min="6" max="6" width="8.42578125" customWidth="1"/>
    <col min="7" max="7" width="55.5703125" customWidth="1"/>
    <col min="8" max="9" width="4.28515625" customWidth="1"/>
    <col min="10" max="10" width="1.42578125" customWidth="1"/>
    <col min="11" max="11" width="11.42578125" hidden="1" customWidth="1"/>
    <col min="12" max="12" width="16.5703125" hidden="1" customWidth="1"/>
    <col min="13" max="13" width="5" hidden="1" customWidth="1"/>
    <col min="14" max="14" width="16.5703125" hidden="1" customWidth="1"/>
    <col min="15" max="15" width="11.5703125" hidden="1" customWidth="1"/>
    <col min="16" max="16" width="11.42578125" hidden="1" customWidth="1"/>
    <col min="17" max="17" width="16.140625" hidden="1" customWidth="1"/>
    <col min="18" max="18" width="12.140625" hidden="1" customWidth="1"/>
    <col min="19" max="16384" width="11.42578125" hidden="1"/>
  </cols>
  <sheetData>
    <row r="1" spans="1:17" s="212" customFormat="1" ht="47.1" customHeight="1" x14ac:dyDescent="0.5">
      <c r="A1" s="210"/>
      <c r="B1" s="210"/>
      <c r="C1" s="174" t="s">
        <v>111</v>
      </c>
      <c r="D1" s="174"/>
      <c r="E1" s="210"/>
      <c r="F1" s="210"/>
      <c r="G1" s="210"/>
      <c r="H1" s="210"/>
      <c r="I1" s="210"/>
      <c r="J1" s="210"/>
    </row>
    <row r="2" spans="1:17" ht="15" customHeight="1" x14ac:dyDescent="0.25">
      <c r="A2" s="8"/>
      <c r="B2" s="9"/>
      <c r="C2" s="9"/>
      <c r="D2" s="9"/>
      <c r="E2" s="9"/>
      <c r="F2" s="9"/>
      <c r="G2" s="9"/>
      <c r="H2" s="9"/>
      <c r="I2" s="9"/>
      <c r="J2" s="8"/>
    </row>
    <row r="3" spans="1:17" ht="15.75" x14ac:dyDescent="0.25">
      <c r="A3" s="8"/>
      <c r="B3" s="9"/>
      <c r="C3" s="177"/>
      <c r="D3" s="180" t="s">
        <v>54</v>
      </c>
      <c r="E3" s="178"/>
      <c r="F3" s="179"/>
      <c r="G3" s="181" t="s">
        <v>112</v>
      </c>
      <c r="H3" s="178"/>
      <c r="I3" s="9"/>
      <c r="J3" s="8"/>
    </row>
    <row r="4" spans="1:17" ht="22.5" x14ac:dyDescent="0.25">
      <c r="A4" s="8"/>
      <c r="B4" s="9"/>
      <c r="C4" s="244" t="s">
        <v>58</v>
      </c>
      <c r="D4" s="262" t="s">
        <v>207</v>
      </c>
      <c r="E4" s="262"/>
      <c r="F4" s="171" t="s">
        <v>60</v>
      </c>
      <c r="G4" s="173" t="s">
        <v>113</v>
      </c>
      <c r="H4" s="78"/>
      <c r="I4" s="9"/>
      <c r="J4" s="8"/>
    </row>
    <row r="5" spans="1:17" ht="22.5" x14ac:dyDescent="0.25">
      <c r="A5" s="8"/>
      <c r="B5" s="9"/>
      <c r="C5" s="244" t="s">
        <v>58</v>
      </c>
      <c r="D5" s="267" t="s">
        <v>114</v>
      </c>
      <c r="E5" s="267"/>
      <c r="F5" s="171" t="s">
        <v>60</v>
      </c>
      <c r="G5" s="173" t="s">
        <v>115</v>
      </c>
      <c r="H5" s="55"/>
      <c r="I5" s="9"/>
      <c r="J5" s="8"/>
    </row>
    <row r="6" spans="1:17" ht="22.5" x14ac:dyDescent="0.25">
      <c r="A6" s="8"/>
      <c r="B6" s="9"/>
      <c r="C6" s="244" t="s">
        <v>58</v>
      </c>
      <c r="D6" s="262" t="s">
        <v>116</v>
      </c>
      <c r="E6" s="262"/>
      <c r="F6" s="171" t="s">
        <v>60</v>
      </c>
      <c r="G6" s="173" t="s">
        <v>117</v>
      </c>
      <c r="H6" s="55"/>
      <c r="I6" s="9"/>
      <c r="J6" s="8"/>
    </row>
    <row r="7" spans="1:17" ht="15" x14ac:dyDescent="0.25">
      <c r="A7" s="8"/>
      <c r="B7" s="9"/>
      <c r="C7" s="82"/>
      <c r="D7" s="82"/>
      <c r="E7" s="82"/>
      <c r="F7" s="82"/>
      <c r="G7" s="82"/>
      <c r="H7" s="82"/>
      <c r="I7" s="9"/>
      <c r="J7" s="8"/>
    </row>
    <row r="8" spans="1:17" ht="15" x14ac:dyDescent="0.25">
      <c r="A8" s="8"/>
      <c r="B8" s="9"/>
      <c r="C8" s="82"/>
      <c r="D8" s="82"/>
      <c r="E8" s="82"/>
      <c r="F8" s="82"/>
      <c r="G8" s="82"/>
      <c r="H8" s="82"/>
      <c r="I8" s="9"/>
      <c r="J8" s="8"/>
    </row>
    <row r="9" spans="1:17" ht="15" x14ac:dyDescent="0.25">
      <c r="A9" s="8"/>
      <c r="B9" s="9"/>
      <c r="C9" s="82"/>
      <c r="D9" s="82"/>
      <c r="E9" s="81"/>
      <c r="F9" s="82"/>
      <c r="G9" s="82"/>
      <c r="H9" s="82"/>
      <c r="I9" s="9"/>
      <c r="J9" s="8"/>
    </row>
    <row r="10" spans="1:17" ht="6" customHeight="1" x14ac:dyDescent="0.25">
      <c r="A10" s="8"/>
      <c r="B10" s="91"/>
      <c r="C10" s="91"/>
      <c r="D10" s="91"/>
      <c r="E10" s="91"/>
      <c r="F10" s="91"/>
      <c r="G10" s="91"/>
      <c r="H10" s="91"/>
      <c r="I10" s="8"/>
      <c r="J10" s="8"/>
    </row>
    <row r="11" spans="1:17" ht="15" x14ac:dyDescent="0.25">
      <c r="A11" s="8"/>
      <c r="B11" s="9"/>
      <c r="C11" s="1"/>
      <c r="D11" s="3"/>
      <c r="E11" s="3"/>
      <c r="F11" s="3"/>
      <c r="G11" s="3"/>
      <c r="H11" s="3"/>
      <c r="I11" s="9"/>
      <c r="J11" s="8"/>
    </row>
    <row r="12" spans="1:17" ht="24" x14ac:dyDescent="0.4">
      <c r="A12" s="8"/>
      <c r="B12" s="9"/>
      <c r="C12" s="1"/>
      <c r="D12" s="2" t="s">
        <v>118</v>
      </c>
      <c r="E12" s="3"/>
      <c r="I12" s="9"/>
      <c r="J12" s="8"/>
      <c r="L12" s="42"/>
    </row>
    <row r="13" spans="1:17" ht="15" x14ac:dyDescent="0.25">
      <c r="A13" s="8"/>
      <c r="B13" s="9"/>
      <c r="C13" s="1"/>
      <c r="D13" s="50" t="s">
        <v>119</v>
      </c>
      <c r="E13" s="3"/>
      <c r="I13" s="9"/>
      <c r="J13" s="8"/>
      <c r="L13" s="42"/>
    </row>
    <row r="14" spans="1:17" ht="15" x14ac:dyDescent="0.25">
      <c r="A14" s="8"/>
      <c r="B14" s="9"/>
      <c r="C14" s="1"/>
      <c r="D14" s="3"/>
      <c r="E14" s="56"/>
      <c r="I14" s="9"/>
      <c r="J14" s="8"/>
      <c r="M14" s="43" t="s">
        <v>120</v>
      </c>
      <c r="N14" s="43" t="s">
        <v>121</v>
      </c>
      <c r="O14" s="43" t="s">
        <v>122</v>
      </c>
    </row>
    <row r="15" spans="1:17" ht="15.75" thickBot="1" x14ac:dyDescent="0.3">
      <c r="A15" s="8"/>
      <c r="B15" s="9"/>
      <c r="C15" s="1"/>
      <c r="D15" s="3" t="s">
        <v>123</v>
      </c>
      <c r="E15" s="64"/>
      <c r="F15" s="49" t="str">
        <f>IF(E15="","*obligatorisk","")</f>
        <v>*obligatorisk</v>
      </c>
      <c r="G15" s="49"/>
      <c r="I15" s="9"/>
      <c r="J15" s="8"/>
      <c r="L15" t="s">
        <v>124</v>
      </c>
      <c r="M15" s="43" t="str">
        <f>IF(M17="Ja","",IF(E15&gt;=DATE(YEAR(E15),M19,1),YEAR(E15),YEAR(E15)-1))</f>
        <v/>
      </c>
      <c r="N15" s="44" t="e">
        <f>(DATE(M15+1,M19,1)-1)-(DATE(M15,M19,1))+1</f>
        <v>#VALUE!</v>
      </c>
      <c r="O15" s="45" t="str" cm="1">
        <f t="array" ref="O15">_xlfn.IFS(E16="","",E15="","",M18="JA",E16-E15,1=1,(DATE(M15+1,M19,1)-1)-E15+1)</f>
        <v/>
      </c>
      <c r="P15" s="46"/>
      <c r="Q15" s="46"/>
    </row>
    <row r="16" spans="1:17" ht="15.75" thickTop="1" x14ac:dyDescent="0.25">
      <c r="A16" s="8"/>
      <c r="B16" s="9"/>
      <c r="C16" s="1"/>
      <c r="D16" s="3" t="s">
        <v>125</v>
      </c>
      <c r="E16" s="65"/>
      <c r="F16" s="49" t="str" cm="1">
        <f t="array" ref="F16">_xlfn.IFS(E16="","*obligatorisk",OR(E15="",E16=""),"",E15&gt;E16,"Utskrivingdato kan ikke være en dato som kommer før innskrivingdato.",DATE(YEAR(E15)+1,MONTH(E15),DAY(E15))=E16,"Perioden ikke overstige ett år.",DATE(YEAR(E15)+1,MONTH(E15),DAY(E15))-1&lt;E16,"Det totale antall dager kan ikke overstige 365 dager.",1=1,"")</f>
        <v>*obligatorisk</v>
      </c>
      <c r="G16" s="49"/>
      <c r="I16" s="9"/>
      <c r="J16" s="8"/>
      <c r="L16" t="s">
        <v>126</v>
      </c>
      <c r="M16" s="43" t="str">
        <f>IF(M17="Ja","",IF(E16&gt;=DATE(YEAR(E16),M19,1),YEAR(E16),YEAR(E16)-1))</f>
        <v/>
      </c>
      <c r="N16" s="44" t="str">
        <f>IF(M18="Ja","",(DATE(M16+1,M19,1)-1)-(DATE(M16,M19,1))+1)</f>
        <v/>
      </c>
      <c r="O16" s="47" t="str">
        <f>IF(M18="Ja","",E16-(DATE(M16,M19,1))+1)</f>
        <v/>
      </c>
    </row>
    <row r="17" spans="1:17" ht="15" x14ac:dyDescent="0.25">
      <c r="A17" s="8"/>
      <c r="B17" s="9"/>
      <c r="C17" s="1"/>
      <c r="F17" s="59"/>
      <c r="G17" s="59"/>
      <c r="I17" s="9"/>
      <c r="J17" s="8"/>
      <c r="L17" t="s">
        <v>127</v>
      </c>
      <c r="M17" s="47" t="str">
        <f>IF(OR(E15="",E16="",F16&lt;&gt;""),"Ja","Nei")</f>
        <v>Ja</v>
      </c>
    </row>
    <row r="18" spans="1:17" ht="15.75" thickBot="1" x14ac:dyDescent="0.3">
      <c r="A18" s="8"/>
      <c r="B18" s="9"/>
      <c r="C18" s="1"/>
      <c r="D18" s="3" t="str">
        <f>IF(M18="JA","Månedlig sats","Månedlig sats f.o.m. 1.jul."&amp;M15&amp;" t.o.m. 30.jun."&amp;M15+1)</f>
        <v>Månedlig sats</v>
      </c>
      <c r="E18" s="58" t="str">
        <f>_xlfn.XLOOKUP(M15,Innstillinger!$B$31:$B$36,Grunnstøtte,"-")</f>
        <v>-</v>
      </c>
      <c r="F18" s="110" t="str">
        <f>IF(M15="","",_xlfn.XLOOKUP(M15,Innstillinger!B31:B36,Innstillinger!L31:L36))</f>
        <v/>
      </c>
      <c r="G18" s="110"/>
      <c r="I18" s="9"/>
      <c r="J18" s="8"/>
      <c r="L18" t="s">
        <v>128</v>
      </c>
      <c r="M18" s="47" t="str">
        <f>IF(M15=M16,"Ja","Nei")</f>
        <v>Ja</v>
      </c>
    </row>
    <row r="19" spans="1:17" ht="16.5" thickTop="1" thickBot="1" x14ac:dyDescent="0.3">
      <c r="A19" s="8"/>
      <c r="B19" s="9"/>
      <c r="C19" s="1"/>
      <c r="D19" s="3" t="str">
        <f>IF(M18="JA","Daglig sats","Daglig sats  f.o.m. 1.jul."&amp;M15&amp;" t.o.m. 30.jun."&amp;M15+1)</f>
        <v>Daglig sats</v>
      </c>
      <c r="E19" s="51" t="str">
        <f>IFERROR(E18*12/N15,"-")</f>
        <v>-</v>
      </c>
      <c r="F19" s="4"/>
      <c r="G19" s="4"/>
      <c r="I19" s="9"/>
      <c r="J19" s="8"/>
      <c r="L19" t="s">
        <v>129</v>
      </c>
      <c r="M19" s="57">
        <v>7</v>
      </c>
    </row>
    <row r="20" spans="1:17" ht="15.75" thickTop="1" x14ac:dyDescent="0.25">
      <c r="A20" s="8"/>
      <c r="B20" s="9"/>
      <c r="C20" s="1"/>
      <c r="D20" s="3" t="str">
        <f>IF(M18="JA","Antall dager","Antall dager f.o.m. "&amp;TEXT(E15,"d.mmm.åååå")&amp;" t.o.m. 30.jun."&amp;M15+1)</f>
        <v>Antall dager</v>
      </c>
      <c r="E20" s="48" t="str">
        <f>O15</f>
        <v/>
      </c>
      <c r="F20" s="4"/>
      <c r="G20" s="4"/>
      <c r="I20" s="9"/>
      <c r="J20" s="8"/>
    </row>
    <row r="21" spans="1:17" ht="15" x14ac:dyDescent="0.25">
      <c r="A21" s="8"/>
      <c r="B21" s="9"/>
      <c r="C21" s="1"/>
      <c r="F21" s="4"/>
      <c r="G21" s="4"/>
      <c r="I21" s="9"/>
      <c r="J21" s="8"/>
      <c r="M21" s="47"/>
    </row>
    <row r="22" spans="1:17" ht="15.75" thickBot="1" x14ac:dyDescent="0.3">
      <c r="A22" s="8"/>
      <c r="B22" s="9"/>
      <c r="C22" s="1"/>
      <c r="D22" s="3" t="str">
        <f>IF(M18="JA","","Månedlig sats f.o.m. 1.jul."&amp;M16&amp;" t.o.m. 30.jun."&amp;M16+1)</f>
        <v/>
      </c>
      <c r="E22" s="58" t="str">
        <f>IF(M18="JA","",_xlfn.XLOOKUP(M16,Innstillinger!$B$31:$B$36,Grunnstøtte,"-"))</f>
        <v/>
      </c>
      <c r="F22" s="110" t="str">
        <f>IF(M18="JA","",_xlfn.XLOOKUP(M16,Innstillinger!B31:B36,Innstillinger!L31:L36))</f>
        <v/>
      </c>
      <c r="G22" s="110"/>
      <c r="I22" s="9"/>
      <c r="J22" s="8"/>
      <c r="N22" s="46"/>
      <c r="O22" s="46"/>
      <c r="P22" s="46"/>
      <c r="Q22" s="46"/>
    </row>
    <row r="23" spans="1:17" ht="16.5" thickTop="1" thickBot="1" x14ac:dyDescent="0.3">
      <c r="A23" s="8"/>
      <c r="B23" s="9"/>
      <c r="C23" s="1"/>
      <c r="D23" s="3" t="str">
        <f>IF(M18="JA","","Daglig sats  f.o.m. 1.jul."&amp;M16&amp;" t.o.m. 30.jun."&amp;M16+1)</f>
        <v/>
      </c>
      <c r="E23" s="51" t="str">
        <f>IFERROR(IF(M18="JA","",E22*12/N16),"-")</f>
        <v/>
      </c>
      <c r="F23" s="4"/>
      <c r="G23" s="4"/>
      <c r="I23" s="9"/>
      <c r="J23" s="8"/>
      <c r="M23" s="47"/>
      <c r="O23" s="46"/>
      <c r="P23" s="46"/>
      <c r="Q23" s="46"/>
    </row>
    <row r="24" spans="1:17" ht="15.75" thickTop="1" x14ac:dyDescent="0.25">
      <c r="A24" s="8"/>
      <c r="B24" s="9"/>
      <c r="C24" s="1"/>
      <c r="D24" s="3" t="str">
        <f>IF(M18="JA","","Antall dager f.o.m. 1.juli."&amp;M16&amp;" t.o.m. "&amp;TEXT(E16,"d.mmm.åååå"))</f>
        <v/>
      </c>
      <c r="E24" s="48" t="str">
        <f>O16</f>
        <v/>
      </c>
      <c r="F24" s="4"/>
      <c r="G24" s="4"/>
      <c r="I24" s="9"/>
      <c r="J24" s="8"/>
      <c r="M24" s="47"/>
      <c r="O24" s="46"/>
      <c r="P24" s="46"/>
      <c r="Q24" s="46"/>
    </row>
    <row r="25" spans="1:17" ht="15" x14ac:dyDescent="0.25">
      <c r="A25" s="8"/>
      <c r="B25" s="9"/>
      <c r="C25" s="1"/>
      <c r="F25" s="4"/>
      <c r="G25" s="4"/>
      <c r="I25" s="9"/>
      <c r="J25" s="8"/>
      <c r="M25" s="47"/>
      <c r="O25" s="46"/>
      <c r="P25" s="46"/>
      <c r="Q25" s="46"/>
    </row>
    <row r="26" spans="1:17" ht="5.25" customHeight="1" x14ac:dyDescent="0.25">
      <c r="A26" s="8"/>
      <c r="B26" s="9"/>
      <c r="C26" s="1"/>
      <c r="D26" s="3"/>
      <c r="E26" s="14"/>
      <c r="I26" s="9"/>
      <c r="J26" s="8"/>
    </row>
    <row r="27" spans="1:17" ht="18.75" x14ac:dyDescent="0.25">
      <c r="A27" s="8"/>
      <c r="B27" s="9"/>
      <c r="C27" s="1"/>
      <c r="D27" s="12" t="s">
        <v>92</v>
      </c>
      <c r="E27" s="13">
        <f>IF(M17="Nei",(E20*E19)+IF(M18="JA",0,(E24*E23)),0)</f>
        <v>0</v>
      </c>
      <c r="F27" s="4"/>
      <c r="G27" s="4"/>
      <c r="I27" s="9"/>
      <c r="J27" s="8"/>
    </row>
    <row r="28" spans="1:17" ht="15" x14ac:dyDescent="0.25">
      <c r="A28" s="8"/>
      <c r="B28" s="9"/>
      <c r="C28" s="1"/>
      <c r="D28" s="4"/>
      <c r="E28" s="4"/>
      <c r="F28" s="4"/>
      <c r="G28" s="4"/>
      <c r="I28" s="9"/>
      <c r="J28" s="8"/>
    </row>
    <row r="29" spans="1:17" ht="15" x14ac:dyDescent="0.25">
      <c r="A29" s="8"/>
      <c r="B29" s="9"/>
      <c r="C29" s="1"/>
      <c r="D29" s="4"/>
      <c r="E29" s="4"/>
      <c r="F29" s="4"/>
      <c r="G29" s="4"/>
      <c r="I29" s="9"/>
      <c r="J29" s="8"/>
    </row>
    <row r="30" spans="1:17" ht="15" x14ac:dyDescent="0.25">
      <c r="A30" s="8"/>
      <c r="B30" s="9"/>
      <c r="D30" s="3" t="s">
        <v>94</v>
      </c>
      <c r="E30" s="5"/>
      <c r="F30" s="117"/>
      <c r="I30" s="9"/>
      <c r="J30" s="8"/>
    </row>
    <row r="31" spans="1:17" ht="15" x14ac:dyDescent="0.25">
      <c r="A31" s="8"/>
      <c r="B31" s="9"/>
      <c r="D31" s="258"/>
      <c r="E31" s="259"/>
      <c r="F31" s="259"/>
      <c r="G31" s="260"/>
      <c r="I31" s="9"/>
      <c r="J31" s="8"/>
    </row>
    <row r="32" spans="1:17" ht="15" x14ac:dyDescent="0.25">
      <c r="A32" s="8"/>
      <c r="B32" s="9"/>
      <c r="D32" s="252"/>
      <c r="E32" s="253"/>
      <c r="F32" s="253"/>
      <c r="G32" s="254"/>
      <c r="I32" s="9"/>
      <c r="J32" s="8"/>
    </row>
    <row r="33" spans="1:15" ht="15" x14ac:dyDescent="0.25">
      <c r="A33" s="8"/>
      <c r="B33" s="9"/>
      <c r="D33" s="252"/>
      <c r="E33" s="253"/>
      <c r="F33" s="253"/>
      <c r="G33" s="254"/>
      <c r="I33" s="9"/>
      <c r="J33" s="8"/>
    </row>
    <row r="34" spans="1:15" ht="15" x14ac:dyDescent="0.25">
      <c r="A34" s="8"/>
      <c r="B34" s="9"/>
      <c r="D34" s="252"/>
      <c r="E34" s="253"/>
      <c r="F34" s="253"/>
      <c r="G34" s="254"/>
      <c r="I34" s="9"/>
      <c r="J34" s="8"/>
    </row>
    <row r="35" spans="1:15" ht="15" x14ac:dyDescent="0.25">
      <c r="A35" s="8"/>
      <c r="B35" s="9"/>
      <c r="D35" s="252"/>
      <c r="E35" s="253"/>
      <c r="F35" s="253"/>
      <c r="G35" s="254"/>
      <c r="I35" s="9"/>
      <c r="J35" s="8"/>
    </row>
    <row r="36" spans="1:15" ht="15" x14ac:dyDescent="0.25">
      <c r="A36" s="8"/>
      <c r="B36" s="9"/>
      <c r="D36" s="255"/>
      <c r="E36" s="256"/>
      <c r="F36" s="256"/>
      <c r="G36" s="257"/>
      <c r="I36" s="9"/>
      <c r="J36" s="8"/>
    </row>
    <row r="37" spans="1:15" ht="15" x14ac:dyDescent="0.25">
      <c r="A37" s="8"/>
      <c r="B37" s="9"/>
      <c r="E37" s="5"/>
      <c r="F37" s="117"/>
      <c r="I37" s="9"/>
      <c r="J37" s="8"/>
    </row>
    <row r="38" spans="1:15" ht="15" x14ac:dyDescent="0.25">
      <c r="A38" s="8"/>
      <c r="B38" s="9"/>
      <c r="C38" s="9"/>
      <c r="D38" s="9"/>
      <c r="E38" s="9"/>
      <c r="F38" s="92"/>
      <c r="G38" s="9"/>
      <c r="H38" s="9"/>
      <c r="I38" s="9"/>
      <c r="J38" s="8"/>
    </row>
    <row r="39" spans="1:15" ht="15" x14ac:dyDescent="0.25">
      <c r="A39" s="8"/>
      <c r="B39" s="9"/>
      <c r="C39" s="9"/>
      <c r="D39" s="9"/>
      <c r="E39" s="9"/>
      <c r="F39" s="92"/>
      <c r="G39" s="9"/>
      <c r="H39" s="9"/>
      <c r="I39" s="9"/>
      <c r="J39" s="8"/>
    </row>
    <row r="40" spans="1:15" ht="6" customHeight="1" x14ac:dyDescent="0.25">
      <c r="A40" s="8"/>
      <c r="B40" s="91"/>
      <c r="C40" s="91"/>
      <c r="D40" s="91"/>
      <c r="E40" s="91"/>
      <c r="F40" s="91"/>
      <c r="G40" s="91"/>
      <c r="H40" s="91"/>
      <c r="I40" s="8"/>
      <c r="J40" s="8"/>
    </row>
    <row r="41" spans="1:15" ht="15" x14ac:dyDescent="0.25">
      <c r="A41" s="8"/>
      <c r="B41" s="9"/>
      <c r="C41" s="1"/>
      <c r="D41" s="3"/>
      <c r="E41" s="3"/>
      <c r="F41" s="3"/>
      <c r="G41" s="3"/>
      <c r="H41" s="3"/>
      <c r="I41" s="9"/>
      <c r="J41" s="8"/>
    </row>
    <row r="42" spans="1:15" ht="24" x14ac:dyDescent="0.4">
      <c r="A42" s="8"/>
      <c r="B42" s="9"/>
      <c r="C42" s="1"/>
      <c r="D42" s="2" t="s">
        <v>208</v>
      </c>
      <c r="E42" s="3"/>
      <c r="I42" s="9"/>
      <c r="J42" s="8"/>
    </row>
    <row r="43" spans="1:15" ht="15" x14ac:dyDescent="0.25">
      <c r="A43" s="8"/>
      <c r="B43" s="9"/>
      <c r="C43" s="1"/>
      <c r="D43" s="3"/>
      <c r="E43" s="3"/>
      <c r="I43" s="9"/>
      <c r="J43" s="8"/>
    </row>
    <row r="44" spans="1:15" ht="15.75" thickBot="1" x14ac:dyDescent="0.3">
      <c r="A44" s="8"/>
      <c r="B44" s="9"/>
      <c r="C44" s="1"/>
      <c r="D44" s="84" t="s">
        <v>130</v>
      </c>
      <c r="E44" s="34"/>
      <c r="F44" s="49" t="str" cm="1">
        <f t="array" ref="F44">_xlfn.IFS(E44="velg fra liste…","*obligatorisk",E44="","*obligatorisk",TRUE,"")</f>
        <v>*obligatorisk</v>
      </c>
      <c r="G44" s="49"/>
      <c r="I44" s="9"/>
      <c r="J44" s="8"/>
      <c r="M44" s="43" t="s">
        <v>120</v>
      </c>
      <c r="N44" s="43" t="s">
        <v>121</v>
      </c>
      <c r="O44" s="43" t="s">
        <v>122</v>
      </c>
    </row>
    <row r="45" spans="1:15" ht="16.5" thickTop="1" thickBot="1" x14ac:dyDescent="0.3">
      <c r="A45" s="8"/>
      <c r="B45" s="9"/>
      <c r="C45" s="1"/>
      <c r="D45" s="3" t="s">
        <v>131</v>
      </c>
      <c r="E45" s="64"/>
      <c r="F45" s="49" t="str">
        <f>IF(E45="","*obligatorisk","")</f>
        <v>*obligatorisk</v>
      </c>
      <c r="G45" s="49"/>
      <c r="I45" s="9"/>
      <c r="J45" s="8"/>
      <c r="L45" t="s">
        <v>124</v>
      </c>
      <c r="M45" s="43" t="str">
        <f>IF(M47="Ja","",IF(E45&gt;=DATE(YEAR(E45),M49,1),YEAR(E45),YEAR(E45)-1))</f>
        <v/>
      </c>
      <c r="N45" s="44" t="e">
        <f>(DATE(M45+1,M49,1)-1)-(DATE(M45,M49,1))+1</f>
        <v>#VALUE!</v>
      </c>
      <c r="O45" s="45" t="str" cm="1">
        <f t="array" ref="O45">_xlfn.IFS(E46="","",E45="","",M48="JA",E46-E45,1=1,(DATE(M45+1,M49,1)-1)-E45+1)</f>
        <v/>
      </c>
    </row>
    <row r="46" spans="1:15" ht="15.75" thickTop="1" x14ac:dyDescent="0.25">
      <c r="A46" s="8"/>
      <c r="B46" s="9"/>
      <c r="C46" s="1"/>
      <c r="D46" s="3" t="s">
        <v>125</v>
      </c>
      <c r="E46" s="65"/>
      <c r="F46" s="49" t="str" cm="1">
        <f t="array" ref="F46">_xlfn.IFS(E46="","*obligatorisk",OR(E45="",E46=""),"",E45&gt;E46,"Utskrivingdato kan ikke være en dato som kommer før innskrivingdato.",DATE(YEAR(E45)+1,MONTH(E45),DAY(E45))=E46,"Perioden ikke overstige ett år.",DATE(YEAR(E45)+1,MONTH(E45),DAY(E45))-1&lt;E46,"Det totale antall dager kan ikke overstige 365 dager.",1=1,"")</f>
        <v>*obligatorisk</v>
      </c>
      <c r="G46" s="49"/>
      <c r="I46" s="9"/>
      <c r="J46" s="8"/>
      <c r="L46" t="s">
        <v>126</v>
      </c>
      <c r="M46" s="43" t="str">
        <f>IF(M47="Ja","",IF(E46&gt;=DATE(YEAR(E46),M49,1),YEAR(E46),YEAR(E46)-1))</f>
        <v/>
      </c>
      <c r="N46" s="44" t="str">
        <f>IF(M48="Ja","",(DATE(M46+1,M49,1)-1)-(DATE(M46,M49,1))+1)</f>
        <v/>
      </c>
      <c r="O46" s="47" t="str">
        <f>IF(M48="Ja","",E46-(DATE(M46,M49,1))+1)</f>
        <v/>
      </c>
    </row>
    <row r="47" spans="1:15" ht="15" x14ac:dyDescent="0.25">
      <c r="A47" s="8"/>
      <c r="B47" s="9"/>
      <c r="C47" s="1"/>
      <c r="F47" s="49"/>
      <c r="G47" s="49"/>
      <c r="I47" s="9"/>
      <c r="J47" s="8"/>
      <c r="L47" t="s">
        <v>132</v>
      </c>
      <c r="M47" s="47" t="str">
        <f>IF(OR(E45="",E46="",F46&lt;&gt;"",F44&lt;&gt;""),"Ja","Nei")</f>
        <v>Ja</v>
      </c>
    </row>
    <row r="48" spans="1:15" ht="15.75" thickBot="1" x14ac:dyDescent="0.3">
      <c r="A48" s="8"/>
      <c r="B48" s="9"/>
      <c r="C48" s="1"/>
      <c r="D48" s="3" t="str">
        <f>IF(M48="JA","Månedlig sats","Månedlig sats for "&amp;M45)</f>
        <v>Månedlig sats</v>
      </c>
      <c r="E48" s="58" t="str" cm="1">
        <f t="array" ref="E48">_xlfn.XLOOKUP(M45,Innstillinger!$B$31:$B$36,IF(E44="31.12.2021 eller før",Før2022,Beredskapshjem),"-")</f>
        <v>-</v>
      </c>
      <c r="F48" s="110" t="str">
        <f>IF(M45="","",_xlfn.XLOOKUP(M45,Innstillinger!B23:B28,Innstillinger!L23:L28))</f>
        <v/>
      </c>
      <c r="G48" s="110"/>
      <c r="I48" s="9"/>
      <c r="J48" s="8"/>
      <c r="L48" t="s">
        <v>128</v>
      </c>
      <c r="M48" s="47" t="str">
        <f>IF(M45=M46,"Ja","Nei")</f>
        <v>Ja</v>
      </c>
    </row>
    <row r="49" spans="1:13" ht="16.5" thickTop="1" thickBot="1" x14ac:dyDescent="0.3">
      <c r="A49" s="8"/>
      <c r="B49" s="9"/>
      <c r="C49" s="1"/>
      <c r="D49" s="3" t="str">
        <f>IF(M48="JA","Daglig sats","Daglig sats for "&amp;M45)</f>
        <v>Daglig sats</v>
      </c>
      <c r="E49" s="51" t="str">
        <f>IFERROR(E48*12/N45,"-")</f>
        <v>-</v>
      </c>
      <c r="F49" s="4"/>
      <c r="G49" s="4"/>
      <c r="I49" s="9"/>
      <c r="J49" s="8"/>
      <c r="L49" t="s">
        <v>129</v>
      </c>
      <c r="M49" s="57">
        <v>1</v>
      </c>
    </row>
    <row r="50" spans="1:13" ht="15.75" thickTop="1" x14ac:dyDescent="0.25">
      <c r="A50" s="8"/>
      <c r="B50" s="9"/>
      <c r="C50" s="1"/>
      <c r="D50" s="3" t="str">
        <f>IF(M48="JA","Antall dager","Antall dager for "&amp;M45)</f>
        <v>Antall dager</v>
      </c>
      <c r="E50" s="48" t="str">
        <f>O45</f>
        <v/>
      </c>
      <c r="I50" s="9"/>
      <c r="J50" s="8"/>
    </row>
    <row r="51" spans="1:13" ht="15" x14ac:dyDescent="0.25">
      <c r="A51" s="8"/>
      <c r="B51" s="9"/>
      <c r="C51" s="1"/>
      <c r="I51" s="9"/>
      <c r="J51" s="8"/>
    </row>
    <row r="52" spans="1:13" ht="15.75" thickBot="1" x14ac:dyDescent="0.3">
      <c r="A52" s="8"/>
      <c r="B52" s="9"/>
      <c r="C52" s="1"/>
      <c r="D52" s="3" t="str">
        <f>IF(M48="JA","","Månedlig sats for "&amp;M46)</f>
        <v/>
      </c>
      <c r="E52" s="58" t="str" cm="1">
        <f t="array" ref="E52">IF(M48="JA","",_xlfn.XLOOKUP(M46,Innstillinger!$B$31:$B$36,IF(E44="Før 2022",Før2022,Beredskapshjem),""))</f>
        <v/>
      </c>
      <c r="F52" s="110" t="str">
        <f>IF(M48="JA","",_xlfn.XLOOKUP(M46,Innstillinger!B23:B28,Innstillinger!L23:L28))</f>
        <v/>
      </c>
      <c r="G52" s="110"/>
      <c r="I52" s="9"/>
      <c r="J52" s="8"/>
    </row>
    <row r="53" spans="1:13" ht="16.5" thickTop="1" thickBot="1" x14ac:dyDescent="0.3">
      <c r="A53" s="8"/>
      <c r="B53" s="9"/>
      <c r="C53" s="1"/>
      <c r="D53" s="3" t="str">
        <f>IF(M48="JA","","Daglig sats for "&amp;M46)</f>
        <v/>
      </c>
      <c r="E53" s="51" t="str">
        <f>IF(M48="JA","",E52*12/N46)</f>
        <v/>
      </c>
      <c r="I53" s="9"/>
      <c r="J53" s="8"/>
    </row>
    <row r="54" spans="1:13" ht="15.75" thickTop="1" x14ac:dyDescent="0.25">
      <c r="A54" s="8"/>
      <c r="B54" s="9"/>
      <c r="C54" s="1"/>
      <c r="D54" s="3" t="str">
        <f>IF(M48="JA","","Antall dager for "&amp;M46)</f>
        <v/>
      </c>
      <c r="E54" s="48" t="str">
        <f>O46</f>
        <v/>
      </c>
      <c r="I54" s="9"/>
      <c r="J54" s="8"/>
    </row>
    <row r="55" spans="1:13" ht="15" x14ac:dyDescent="0.25">
      <c r="A55" s="8"/>
      <c r="B55" s="9"/>
      <c r="C55" s="1"/>
      <c r="I55" s="9"/>
      <c r="J55" s="8"/>
    </row>
    <row r="56" spans="1:13" ht="5.25" customHeight="1" x14ac:dyDescent="0.25">
      <c r="A56" s="8"/>
      <c r="B56" s="9"/>
      <c r="C56" s="1"/>
      <c r="D56" s="3"/>
      <c r="E56" s="14"/>
      <c r="I56" s="9"/>
      <c r="J56" s="8"/>
    </row>
    <row r="57" spans="1:13" ht="18.75" x14ac:dyDescent="0.25">
      <c r="A57" s="8"/>
      <c r="B57" s="9"/>
      <c r="C57" s="1"/>
      <c r="D57" s="12" t="s">
        <v>92</v>
      </c>
      <c r="E57" s="13">
        <f>IF(M47="Nei",(E50*E49)+IF(M48="JA",0,(E54*E53)),0)</f>
        <v>0</v>
      </c>
      <c r="I57" s="9"/>
      <c r="J57" s="8"/>
    </row>
    <row r="58" spans="1:13" ht="15" x14ac:dyDescent="0.25">
      <c r="A58" s="8"/>
      <c r="B58" s="9"/>
      <c r="C58" s="1"/>
      <c r="D58" s="4"/>
      <c r="E58" s="4"/>
      <c r="F58" s="4"/>
      <c r="G58" s="4"/>
      <c r="I58" s="9"/>
      <c r="J58" s="8"/>
    </row>
    <row r="59" spans="1:13" ht="15" x14ac:dyDescent="0.25">
      <c r="A59" s="8"/>
      <c r="B59" s="9"/>
      <c r="C59" s="1"/>
      <c r="D59" s="4"/>
      <c r="E59" s="4"/>
      <c r="F59" s="4"/>
      <c r="G59" s="4"/>
      <c r="I59" s="9"/>
      <c r="J59" s="8"/>
    </row>
    <row r="60" spans="1:13" ht="15" x14ac:dyDescent="0.25">
      <c r="A60" s="8"/>
      <c r="B60" s="9"/>
      <c r="D60" s="3" t="s">
        <v>94</v>
      </c>
      <c r="E60" s="5"/>
      <c r="F60" s="117"/>
      <c r="I60" s="9"/>
      <c r="J60" s="8"/>
    </row>
    <row r="61" spans="1:13" ht="15" x14ac:dyDescent="0.25">
      <c r="A61" s="8"/>
      <c r="B61" s="9"/>
      <c r="D61" s="258"/>
      <c r="E61" s="259"/>
      <c r="F61" s="259"/>
      <c r="G61" s="260"/>
      <c r="I61" s="9"/>
      <c r="J61" s="8"/>
    </row>
    <row r="62" spans="1:13" ht="15" x14ac:dyDescent="0.25">
      <c r="A62" s="8"/>
      <c r="B62" s="9"/>
      <c r="D62" s="252"/>
      <c r="E62" s="253"/>
      <c r="F62" s="253"/>
      <c r="G62" s="254"/>
      <c r="I62" s="9"/>
      <c r="J62" s="8"/>
    </row>
    <row r="63" spans="1:13" ht="15" x14ac:dyDescent="0.25">
      <c r="A63" s="8"/>
      <c r="B63" s="9"/>
      <c r="D63" s="252"/>
      <c r="E63" s="253"/>
      <c r="F63" s="253"/>
      <c r="G63" s="254"/>
      <c r="I63" s="9"/>
      <c r="J63" s="8"/>
    </row>
    <row r="64" spans="1:13" ht="15" x14ac:dyDescent="0.25">
      <c r="A64" s="8"/>
      <c r="B64" s="9"/>
      <c r="D64" s="252"/>
      <c r="E64" s="253"/>
      <c r="F64" s="253"/>
      <c r="G64" s="254"/>
      <c r="I64" s="9"/>
      <c r="J64" s="8"/>
    </row>
    <row r="65" spans="1:17" ht="15" x14ac:dyDescent="0.25">
      <c r="A65" s="8"/>
      <c r="B65" s="9"/>
      <c r="D65" s="252"/>
      <c r="E65" s="253"/>
      <c r="F65" s="253"/>
      <c r="G65" s="254"/>
      <c r="I65" s="9"/>
      <c r="J65" s="8"/>
    </row>
    <row r="66" spans="1:17" ht="15" x14ac:dyDescent="0.25">
      <c r="A66" s="8"/>
      <c r="B66" s="9"/>
      <c r="D66" s="255"/>
      <c r="E66" s="256"/>
      <c r="F66" s="256"/>
      <c r="G66" s="257"/>
      <c r="I66" s="9"/>
      <c r="J66" s="8"/>
    </row>
    <row r="67" spans="1:17" ht="15" x14ac:dyDescent="0.25">
      <c r="A67" s="8"/>
      <c r="B67" s="9"/>
      <c r="E67" s="5"/>
      <c r="F67" s="117"/>
      <c r="I67" s="9"/>
      <c r="J67" s="8"/>
    </row>
    <row r="68" spans="1:17" ht="15" x14ac:dyDescent="0.25">
      <c r="A68" s="8"/>
      <c r="B68" s="9"/>
      <c r="C68" s="9"/>
      <c r="D68" s="9"/>
      <c r="E68" s="9"/>
      <c r="F68" s="92"/>
      <c r="G68" s="9"/>
      <c r="H68" s="9"/>
      <c r="I68" s="9"/>
      <c r="J68" s="8"/>
    </row>
    <row r="69" spans="1:17" ht="15" x14ac:dyDescent="0.25">
      <c r="A69" s="8"/>
      <c r="B69" s="9"/>
      <c r="C69" s="9"/>
      <c r="D69" s="9"/>
      <c r="E69" s="9"/>
      <c r="F69" s="92"/>
      <c r="G69" s="9"/>
      <c r="H69" s="9"/>
      <c r="I69" s="9"/>
      <c r="J69" s="8"/>
    </row>
    <row r="70" spans="1:17" ht="6" customHeight="1" x14ac:dyDescent="0.25">
      <c r="A70" s="8"/>
      <c r="B70" s="91"/>
      <c r="C70" s="91"/>
      <c r="D70" s="91"/>
      <c r="E70" s="91"/>
      <c r="F70" s="91"/>
      <c r="G70" s="91"/>
      <c r="H70" s="91"/>
      <c r="I70" s="8"/>
      <c r="J70" s="8"/>
    </row>
    <row r="71" spans="1:17" ht="15" x14ac:dyDescent="0.25">
      <c r="A71" s="8"/>
      <c r="B71" s="9"/>
      <c r="C71" s="1"/>
      <c r="D71" s="3"/>
      <c r="E71" s="3"/>
      <c r="F71" s="3"/>
      <c r="G71" s="3"/>
      <c r="H71" s="3"/>
      <c r="I71" s="9"/>
      <c r="J71" s="8"/>
    </row>
    <row r="72" spans="1:17" ht="24" x14ac:dyDescent="0.4">
      <c r="A72" s="8"/>
      <c r="B72" s="9"/>
      <c r="C72" s="1"/>
      <c r="D72" s="2" t="s">
        <v>133</v>
      </c>
      <c r="E72" s="3"/>
      <c r="I72" s="9"/>
      <c r="J72" s="8"/>
      <c r="L72" s="42"/>
    </row>
    <row r="73" spans="1:17" ht="15" x14ac:dyDescent="0.25">
      <c r="A73" s="8"/>
      <c r="B73" s="9"/>
      <c r="C73" s="1"/>
      <c r="D73" s="3"/>
      <c r="E73" s="3"/>
      <c r="I73" s="9"/>
      <c r="J73" s="8"/>
      <c r="M73" s="43" t="s">
        <v>120</v>
      </c>
      <c r="N73" s="43" t="s">
        <v>121</v>
      </c>
      <c r="O73" s="43" t="s">
        <v>122</v>
      </c>
    </row>
    <row r="74" spans="1:17" ht="15.75" thickBot="1" x14ac:dyDescent="0.3">
      <c r="A74" s="8"/>
      <c r="B74" s="9"/>
      <c r="C74" s="1"/>
      <c r="D74" s="3" t="s">
        <v>123</v>
      </c>
      <c r="E74" s="64"/>
      <c r="F74" s="49" t="str">
        <f>IF(E74="","*obligatorisk","")</f>
        <v>*obligatorisk</v>
      </c>
      <c r="G74" s="49"/>
      <c r="I74" s="9"/>
      <c r="J74" s="8"/>
      <c r="L74" t="s">
        <v>124</v>
      </c>
      <c r="M74" s="43" t="str">
        <f>IF(M76="Ja","",IF(E74&gt;=DATE(YEAR(E74),M78,1),YEAR(E74),YEAR(E74)-1))</f>
        <v/>
      </c>
      <c r="N74" s="44" t="e">
        <f>(DATE(M74+1,M78,1)-1)-(DATE(M74,M78,1))+1</f>
        <v>#VALUE!</v>
      </c>
      <c r="O74" s="45" t="str" cm="1">
        <f t="array" ref="O74">_xlfn.IFS(E75="","",E74="","",M77="JA",E75-E74,1=1,(DATE(M74+1,M78,1)-1)-E74+1)</f>
        <v/>
      </c>
      <c r="Q74" s="5"/>
    </row>
    <row r="75" spans="1:17" ht="15.75" thickTop="1" x14ac:dyDescent="0.25">
      <c r="A75" s="8"/>
      <c r="B75" s="9"/>
      <c r="C75" s="1"/>
      <c r="D75" s="3" t="s">
        <v>125</v>
      </c>
      <c r="E75" s="65"/>
      <c r="F75" s="49" t="str" cm="1">
        <f t="array" ref="F75">_xlfn.IFS(E75="","*obligatorisk",OR(E74="",E75=""),"",E74&gt;E75,"Utskrivingdato kan ikke være en dato som kommer før innskrivingdato.",DATE(YEAR(E74)+1,MONTH(E74),DAY(E74))=E75,"Perioden ikke overstige ett år.",DATE(YEAR(E74)+1,MONTH(E74),DAY(E74))-1&lt;E75,"Det totale antall dager kan ikke overstige 365 dager.",1=1,"")</f>
        <v>*obligatorisk</v>
      </c>
      <c r="G75" s="49"/>
      <c r="I75" s="9"/>
      <c r="J75" s="8"/>
      <c r="L75" t="s">
        <v>126</v>
      </c>
      <c r="M75" s="43" t="str">
        <f>IF(M76="Ja","",IF(E75&gt;=DATE(YEAR(E75),M78,1),YEAR(E75),YEAR(E75)-1))</f>
        <v/>
      </c>
      <c r="N75" s="44" t="str">
        <f>IF(M77="Ja","",(DATE(M75+1,M78,1)-1)-(DATE(M75,M78,1))+1)</f>
        <v/>
      </c>
      <c r="O75" s="47" t="str">
        <f>IF(M77="Ja","",E75-(DATE(M75,M78,1))+1)</f>
        <v/>
      </c>
      <c r="Q75" s="5"/>
    </row>
    <row r="76" spans="1:17" ht="15" x14ac:dyDescent="0.25">
      <c r="A76" s="8"/>
      <c r="B76" s="9"/>
      <c r="C76" s="1"/>
      <c r="I76" s="9"/>
      <c r="J76" s="8"/>
      <c r="L76" t="s">
        <v>127</v>
      </c>
      <c r="M76" s="47" t="str">
        <f>IF(OR(E74="",E75="",F75&lt;&gt;""),"Ja","Nei")</f>
        <v>Ja</v>
      </c>
    </row>
    <row r="77" spans="1:17" ht="15.75" thickBot="1" x14ac:dyDescent="0.3">
      <c r="A77" s="8"/>
      <c r="B77" s="9"/>
      <c r="C77" s="1"/>
      <c r="D77" s="3" t="str">
        <f>IF(M77="JA","Månedlig sats","Månedlig sats for "&amp;M74)</f>
        <v>Månedlig sats</v>
      </c>
      <c r="E77" s="58" t="str">
        <f>_xlfn.XLOOKUP(M74,Innstillinger!$B$31:$B$36,Institusjon,"-")</f>
        <v>-</v>
      </c>
      <c r="F77" s="110" t="str">
        <f>IF(M74="","",_xlfn.XLOOKUP(M74,Innstillinger!B23:B28,Innstillinger!L23:L28))</f>
        <v/>
      </c>
      <c r="G77" s="110"/>
      <c r="I77" s="9"/>
      <c r="J77" s="8"/>
      <c r="L77" t="s">
        <v>128</v>
      </c>
      <c r="M77" s="47" t="str">
        <f>IF(M74=M75,"Ja","Nei")</f>
        <v>Ja</v>
      </c>
      <c r="P77" s="47"/>
    </row>
    <row r="78" spans="1:17" ht="16.5" customHeight="1" thickTop="1" thickBot="1" x14ac:dyDescent="0.3">
      <c r="A78" s="8"/>
      <c r="B78" s="9"/>
      <c r="C78" s="1"/>
      <c r="D78" s="3" t="str">
        <f>IF(M77="JA","Daglig sats","Daglig sats for "&amp;M74)</f>
        <v>Daglig sats</v>
      </c>
      <c r="E78" s="51" t="str">
        <f>IFERROR(E77*12/N74,"-")</f>
        <v>-</v>
      </c>
      <c r="F78" s="4"/>
      <c r="G78" s="4"/>
      <c r="I78" s="9"/>
      <c r="J78" s="8"/>
      <c r="L78" t="s">
        <v>129</v>
      </c>
      <c r="M78" s="57">
        <v>1</v>
      </c>
    </row>
    <row r="79" spans="1:17" ht="16.5" customHeight="1" thickTop="1" x14ac:dyDescent="0.25">
      <c r="A79" s="8"/>
      <c r="B79" s="9"/>
      <c r="C79" s="1"/>
      <c r="D79" s="3" t="str">
        <f>IF(M77="JA","Antall dager","Antall dager for "&amp;M74)</f>
        <v>Antall dager</v>
      </c>
      <c r="E79" s="48" t="str">
        <f>O74</f>
        <v/>
      </c>
      <c r="I79" s="9"/>
      <c r="J79" s="8"/>
    </row>
    <row r="80" spans="1:17" ht="16.5" customHeight="1" x14ac:dyDescent="0.25">
      <c r="A80" s="8"/>
      <c r="B80" s="9"/>
      <c r="C80" s="1"/>
      <c r="I80" s="9"/>
      <c r="J80" s="8"/>
      <c r="L80" t="e">
        <f>_xlfn.XLOOKUP(M74,Innstillinger!B23:B28,Innstillinger!L23:L28)</f>
        <v>#N/A</v>
      </c>
      <c r="M80" s="47"/>
    </row>
    <row r="81" spans="1:10" ht="16.5" customHeight="1" thickBot="1" x14ac:dyDescent="0.3">
      <c r="A81" s="8"/>
      <c r="B81" s="9"/>
      <c r="C81" s="1"/>
      <c r="D81" s="3" t="str">
        <f>IF(M77="JA","","Månedlig sats for "&amp;M75)</f>
        <v/>
      </c>
      <c r="E81" s="58" t="str">
        <f>IF(M77="JA","",_xlfn.XLOOKUP(M75,Innstillinger!$B$31:$B$36,Institusjon,""))</f>
        <v/>
      </c>
      <c r="F81" s="110" t="str">
        <f>IF(M77="JA","",_xlfn.XLOOKUP(M74,Innstillinger!B23:B28,Innstillinger!L23:L28))</f>
        <v/>
      </c>
      <c r="G81" s="110"/>
      <c r="I81" s="9"/>
      <c r="J81" s="8"/>
    </row>
    <row r="82" spans="1:10" ht="16.5" customHeight="1" thickTop="1" thickBot="1" x14ac:dyDescent="0.3">
      <c r="A82" s="8"/>
      <c r="B82" s="9"/>
      <c r="C82" s="1"/>
      <c r="D82" s="3" t="str">
        <f>IF(M77="JA","","Daglig sats for "&amp;M75)</f>
        <v/>
      </c>
      <c r="E82" s="51" t="str">
        <f>IF(M77="JA","",E81*12/N75)</f>
        <v/>
      </c>
      <c r="I82" s="9"/>
      <c r="J82" s="8"/>
    </row>
    <row r="83" spans="1:10" ht="16.5" customHeight="1" thickTop="1" x14ac:dyDescent="0.25">
      <c r="A83" s="8"/>
      <c r="B83" s="9"/>
      <c r="C83" s="1"/>
      <c r="D83" s="3" t="str">
        <f>IF(M77="JA","","Antall dager for "&amp;M75)</f>
        <v/>
      </c>
      <c r="E83" s="48" t="str">
        <f>O75</f>
        <v/>
      </c>
      <c r="I83" s="9"/>
      <c r="J83" s="8"/>
    </row>
    <row r="84" spans="1:10" ht="16.5" customHeight="1" x14ac:dyDescent="0.25">
      <c r="A84" s="8"/>
      <c r="B84" s="9"/>
      <c r="C84" s="1"/>
      <c r="I84" s="9"/>
      <c r="J84" s="8"/>
    </row>
    <row r="85" spans="1:10" ht="5.25" customHeight="1" x14ac:dyDescent="0.25">
      <c r="A85" s="8"/>
      <c r="B85" s="9"/>
      <c r="C85" s="1"/>
      <c r="D85" s="3"/>
      <c r="E85" s="14"/>
      <c r="I85" s="9"/>
      <c r="J85" s="8"/>
    </row>
    <row r="86" spans="1:10" ht="18.75" x14ac:dyDescent="0.25">
      <c r="A86" s="8"/>
      <c r="B86" s="9"/>
      <c r="C86" s="1"/>
      <c r="D86" s="12" t="s">
        <v>92</v>
      </c>
      <c r="E86" s="13">
        <f>IF(M76="Nei",(E79*E78)+IF(M77="JA",0,(E83*E82)),0)</f>
        <v>0</v>
      </c>
      <c r="I86" s="9"/>
      <c r="J86" s="8"/>
    </row>
    <row r="87" spans="1:10" ht="15" x14ac:dyDescent="0.25">
      <c r="A87" s="8"/>
      <c r="B87" s="9"/>
      <c r="C87" s="1"/>
      <c r="D87" s="4"/>
      <c r="E87" s="4"/>
      <c r="F87" s="4"/>
      <c r="G87" s="4"/>
      <c r="I87" s="9"/>
      <c r="J87" s="8"/>
    </row>
    <row r="88" spans="1:10" ht="15" x14ac:dyDescent="0.25">
      <c r="A88" s="8"/>
      <c r="B88" s="9"/>
      <c r="C88" s="1"/>
      <c r="D88" s="4"/>
      <c r="E88" s="4"/>
      <c r="F88" s="4"/>
      <c r="G88" s="4"/>
      <c r="I88" s="9"/>
      <c r="J88" s="8"/>
    </row>
    <row r="89" spans="1:10" ht="15" x14ac:dyDescent="0.25">
      <c r="A89" s="8"/>
      <c r="B89" s="9"/>
      <c r="D89" s="3"/>
      <c r="E89" s="5"/>
      <c r="F89" s="117"/>
      <c r="I89" s="9"/>
      <c r="J89" s="8"/>
    </row>
    <row r="90" spans="1:10" ht="15" x14ac:dyDescent="0.25">
      <c r="A90" s="8"/>
      <c r="B90" s="9"/>
      <c r="D90" s="258"/>
      <c r="E90" s="259"/>
      <c r="F90" s="259"/>
      <c r="G90" s="260"/>
      <c r="I90" s="9"/>
      <c r="J90" s="8"/>
    </row>
    <row r="91" spans="1:10" ht="15" x14ac:dyDescent="0.25">
      <c r="A91" s="8"/>
      <c r="B91" s="9"/>
      <c r="D91" s="252"/>
      <c r="E91" s="253"/>
      <c r="F91" s="253"/>
      <c r="G91" s="254"/>
      <c r="I91" s="9"/>
      <c r="J91" s="8"/>
    </row>
    <row r="92" spans="1:10" ht="15" x14ac:dyDescent="0.25">
      <c r="A92" s="8"/>
      <c r="B92" s="9"/>
      <c r="D92" s="252"/>
      <c r="E92" s="253"/>
      <c r="F92" s="253"/>
      <c r="G92" s="254"/>
      <c r="I92" s="9"/>
      <c r="J92" s="8"/>
    </row>
    <row r="93" spans="1:10" ht="15" x14ac:dyDescent="0.25">
      <c r="A93" s="8"/>
      <c r="B93" s="9"/>
      <c r="D93" s="252"/>
      <c r="E93" s="253"/>
      <c r="F93" s="253"/>
      <c r="G93" s="254"/>
      <c r="I93" s="9"/>
      <c r="J93" s="8"/>
    </row>
    <row r="94" spans="1:10" ht="15" x14ac:dyDescent="0.25">
      <c r="A94" s="8"/>
      <c r="B94" s="9"/>
      <c r="D94" s="252"/>
      <c r="E94" s="253"/>
      <c r="F94" s="253"/>
      <c r="G94" s="254"/>
      <c r="I94" s="9"/>
      <c r="J94" s="8"/>
    </row>
    <row r="95" spans="1:10" ht="15" x14ac:dyDescent="0.25">
      <c r="A95" s="8"/>
      <c r="B95" s="9"/>
      <c r="D95" s="255"/>
      <c r="E95" s="256"/>
      <c r="F95" s="256"/>
      <c r="G95" s="257"/>
      <c r="I95" s="9"/>
      <c r="J95" s="8"/>
    </row>
    <row r="96" spans="1:10" ht="15" x14ac:dyDescent="0.25">
      <c r="A96" s="8"/>
      <c r="B96" s="9"/>
      <c r="E96" s="5"/>
      <c r="F96" s="117"/>
      <c r="I96" s="9"/>
      <c r="J96" s="8"/>
    </row>
    <row r="97" spans="1:10" ht="15" x14ac:dyDescent="0.25">
      <c r="A97" s="8"/>
      <c r="B97" s="9"/>
      <c r="C97" s="9"/>
      <c r="D97" s="9"/>
      <c r="E97" s="9"/>
      <c r="F97" s="92"/>
      <c r="G97" s="9"/>
      <c r="H97" s="9"/>
      <c r="I97" s="9"/>
      <c r="J97" s="8"/>
    </row>
    <row r="98" spans="1:10" ht="15" x14ac:dyDescent="0.25">
      <c r="A98" s="8"/>
      <c r="B98" s="9"/>
      <c r="C98" s="9"/>
      <c r="D98" s="9"/>
      <c r="E98" s="9"/>
      <c r="F98" s="92"/>
      <c r="G98" s="9"/>
      <c r="H98" s="9"/>
      <c r="I98" s="9"/>
      <c r="J98" s="8"/>
    </row>
    <row r="99" spans="1:10" ht="6" customHeight="1" x14ac:dyDescent="0.25">
      <c r="A99" s="8"/>
      <c r="B99" s="91"/>
      <c r="C99" s="91"/>
      <c r="D99" s="91"/>
      <c r="E99" s="91"/>
      <c r="F99" s="91"/>
      <c r="G99" s="91"/>
      <c r="H99" s="91"/>
      <c r="I99" s="8"/>
      <c r="J99" s="8"/>
    </row>
  </sheetData>
  <sheetProtection sheet="1" objects="1" scenarios="1"/>
  <mergeCells count="12">
    <mergeCell ref="D94:G95"/>
    <mergeCell ref="D4:E4"/>
    <mergeCell ref="D5:E5"/>
    <mergeCell ref="D6:E6"/>
    <mergeCell ref="D31:G32"/>
    <mergeCell ref="D33:G34"/>
    <mergeCell ref="D35:G36"/>
    <mergeCell ref="D61:G62"/>
    <mergeCell ref="D63:G64"/>
    <mergeCell ref="D65:G66"/>
    <mergeCell ref="D90:G91"/>
    <mergeCell ref="D92:G93"/>
  </mergeCells>
  <conditionalFormatting sqref="E22:E24 E52:E54 E81:E83">
    <cfRule type="expression" dxfId="6" priority="2">
      <formula>E22=""</formula>
    </cfRule>
  </conditionalFormatting>
  <dataValidations count="1">
    <dataValidation type="list" allowBlank="1" showInputMessage="1" showErrorMessage="1" sqref="E44" xr:uid="{91E7311D-244C-49B0-BC60-D780FF073DA7}">
      <formula1>"Velg fra liste…,31.12.2021 eller før,01.01.2022 eller etter"</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10C3-02D3-401E-A47D-EA55CF1FA5CE}">
  <sheetPr codeName="Ark5">
    <tabColor rgb="FFF2E7E7"/>
    <pageSetUpPr autoPageBreaks="0"/>
  </sheetPr>
  <dimension ref="A1:R60"/>
  <sheetViews>
    <sheetView showGridLines="0" zoomScaleNormal="100" workbookViewId="0">
      <pane ySplit="1" topLeftCell="A2" activePane="bottomLeft" state="frozen"/>
      <selection pane="bottomLeft"/>
    </sheetView>
  </sheetViews>
  <sheetFormatPr baseColWidth="10" defaultColWidth="11.42578125" defaultRowHeight="15" zeroHeight="1" x14ac:dyDescent="0.25"/>
  <cols>
    <col min="1" max="1" width="1.42578125" customWidth="1"/>
    <col min="2" max="3" width="4.28515625" customWidth="1"/>
    <col min="4" max="4" width="11.140625" customWidth="1"/>
    <col min="5" max="5" width="19.7109375" customWidth="1"/>
    <col min="6" max="8" width="12.42578125" customWidth="1"/>
    <col min="9" max="9" width="17.140625" customWidth="1"/>
    <col min="10" max="11" width="11.42578125" customWidth="1"/>
    <col min="12" max="12" width="17.140625" customWidth="1"/>
    <col min="13" max="13" width="6.140625" customWidth="1"/>
    <col min="14" max="14" width="4.28515625" customWidth="1"/>
    <col min="15" max="15" width="1.42578125" customWidth="1"/>
  </cols>
  <sheetData>
    <row r="1" spans="1:18" s="212" customFormat="1" ht="47.1" customHeight="1" x14ac:dyDescent="0.5">
      <c r="A1" s="210"/>
      <c r="B1" s="210"/>
      <c r="C1" s="174" t="s">
        <v>134</v>
      </c>
      <c r="D1" s="174"/>
      <c r="E1" s="174"/>
      <c r="F1" s="174"/>
      <c r="G1" s="174"/>
      <c r="H1" s="174"/>
      <c r="I1" s="174"/>
      <c r="J1" s="174"/>
      <c r="K1" s="174"/>
      <c r="L1" s="210"/>
      <c r="M1" s="210"/>
      <c r="N1" s="210"/>
      <c r="O1" s="210"/>
    </row>
    <row r="2" spans="1:18" ht="15" customHeight="1" x14ac:dyDescent="0.25">
      <c r="A2" s="8"/>
      <c r="B2" s="9"/>
      <c r="C2" s="9"/>
      <c r="D2" s="9"/>
      <c r="E2" s="9"/>
      <c r="F2" s="9"/>
      <c r="G2" s="9"/>
      <c r="H2" s="9"/>
      <c r="I2" s="9"/>
      <c r="J2" s="9"/>
      <c r="K2" s="9"/>
      <c r="L2" s="9"/>
      <c r="M2" s="9"/>
      <c r="N2" s="9"/>
      <c r="O2" s="8"/>
    </row>
    <row r="3" spans="1:18" ht="24" x14ac:dyDescent="0.4">
      <c r="A3" s="8"/>
      <c r="B3" s="9"/>
      <c r="C3" s="177"/>
      <c r="D3" s="180" t="s">
        <v>54</v>
      </c>
      <c r="E3" s="178"/>
      <c r="F3" s="179"/>
      <c r="G3" s="181"/>
      <c r="H3" s="178"/>
      <c r="I3" s="189" t="s">
        <v>55</v>
      </c>
      <c r="J3" s="79"/>
      <c r="K3" s="232"/>
      <c r="L3" s="79"/>
      <c r="M3" s="80"/>
      <c r="N3" s="9"/>
      <c r="O3" s="8"/>
    </row>
    <row r="4" spans="1:18" ht="25.5" customHeight="1" x14ac:dyDescent="0.25">
      <c r="A4" s="8"/>
      <c r="B4" s="9"/>
      <c r="C4" s="244" t="s">
        <v>58</v>
      </c>
      <c r="D4" s="262" t="s">
        <v>209</v>
      </c>
      <c r="E4" s="262"/>
      <c r="F4" s="262"/>
      <c r="G4" s="262"/>
      <c r="H4" s="171" t="s">
        <v>60</v>
      </c>
      <c r="I4" s="277" t="s">
        <v>135</v>
      </c>
      <c r="J4" s="277"/>
      <c r="K4" s="277"/>
      <c r="L4" s="277"/>
      <c r="M4" s="200"/>
      <c r="N4" s="9"/>
      <c r="O4" s="8"/>
    </row>
    <row r="5" spans="1:18" ht="25.5" customHeight="1" x14ac:dyDescent="0.25">
      <c r="A5" s="8"/>
      <c r="B5" s="9"/>
      <c r="C5" s="246"/>
      <c r="D5" s="276" t="s">
        <v>210</v>
      </c>
      <c r="E5" s="276"/>
      <c r="F5" s="276"/>
      <c r="G5" s="276"/>
      <c r="H5" s="171" t="s">
        <v>60</v>
      </c>
      <c r="I5" s="277" t="s">
        <v>211</v>
      </c>
      <c r="J5" s="277"/>
      <c r="K5" s="277"/>
      <c r="L5" s="277"/>
      <c r="M5" s="200"/>
      <c r="N5" s="9"/>
      <c r="O5" s="8"/>
    </row>
    <row r="6" spans="1:18" ht="25.5" customHeight="1" x14ac:dyDescent="0.25">
      <c r="A6" s="8"/>
      <c r="B6" s="9"/>
      <c r="C6" s="247" t="s">
        <v>58</v>
      </c>
      <c r="D6" s="275" t="s">
        <v>136</v>
      </c>
      <c r="E6" s="275"/>
      <c r="F6" s="275"/>
      <c r="G6" s="275"/>
      <c r="H6" s="171" t="s">
        <v>60</v>
      </c>
      <c r="I6" s="275" t="s">
        <v>212</v>
      </c>
      <c r="J6" s="275"/>
      <c r="K6" s="275"/>
      <c r="L6" s="275"/>
      <c r="M6" s="202"/>
      <c r="N6" s="9"/>
      <c r="O6" s="8"/>
    </row>
    <row r="7" spans="1:18" ht="25.5" customHeight="1" x14ac:dyDescent="0.25">
      <c r="A7" s="8"/>
      <c r="B7" s="9"/>
      <c r="C7" s="201"/>
      <c r="D7" s="228"/>
      <c r="E7" s="228"/>
      <c r="F7" s="228"/>
      <c r="G7" s="228"/>
      <c r="H7" s="171" t="s">
        <v>60</v>
      </c>
      <c r="I7" s="274" t="s">
        <v>68</v>
      </c>
      <c r="J7" s="274"/>
      <c r="K7" s="274"/>
      <c r="L7" s="274"/>
      <c r="M7" s="202"/>
      <c r="N7" s="9"/>
      <c r="O7" s="8"/>
    </row>
    <row r="8" spans="1:18" ht="22.5" customHeight="1" x14ac:dyDescent="0.25">
      <c r="A8" s="8"/>
      <c r="B8" s="9"/>
      <c r="C8" s="93"/>
      <c r="D8" s="93"/>
      <c r="E8" s="93"/>
      <c r="F8" s="172"/>
      <c r="G8" s="263"/>
      <c r="H8" s="264"/>
      <c r="I8" s="83"/>
      <c r="J8" s="83"/>
      <c r="K8" s="83"/>
      <c r="L8" s="83"/>
      <c r="M8" s="83"/>
      <c r="N8" s="9"/>
      <c r="O8" s="8"/>
    </row>
    <row r="9" spans="1:18" x14ac:dyDescent="0.25">
      <c r="A9" s="8"/>
      <c r="B9" s="9"/>
      <c r="C9" s="54"/>
      <c r="D9" s="54"/>
      <c r="E9" s="54"/>
      <c r="F9" s="94"/>
      <c r="G9" s="54"/>
      <c r="H9" s="54"/>
      <c r="I9" s="54"/>
      <c r="J9" s="54"/>
      <c r="K9" s="54"/>
      <c r="L9" s="54"/>
      <c r="M9" s="54"/>
      <c r="N9" s="9"/>
      <c r="O9" s="8"/>
    </row>
    <row r="10" spans="1:18" ht="6" customHeight="1" x14ac:dyDescent="0.25">
      <c r="A10" s="8"/>
      <c r="B10" s="8"/>
      <c r="C10" s="8"/>
      <c r="D10" s="8"/>
      <c r="E10" s="8"/>
      <c r="F10" s="91"/>
      <c r="G10" s="8"/>
      <c r="H10" s="8"/>
      <c r="I10" s="8"/>
      <c r="J10" s="8"/>
      <c r="K10" s="8"/>
      <c r="L10" s="8"/>
      <c r="M10" s="8"/>
      <c r="N10" s="8"/>
      <c r="O10" s="8"/>
    </row>
    <row r="11" spans="1:18" x14ac:dyDescent="0.25">
      <c r="A11" s="8"/>
      <c r="B11" s="9"/>
      <c r="C11" s="1"/>
      <c r="D11" s="22"/>
      <c r="E11" s="22"/>
      <c r="F11" s="22"/>
      <c r="G11" s="22"/>
      <c r="H11" s="22"/>
      <c r="I11" s="22"/>
      <c r="J11" s="22"/>
      <c r="K11" s="22"/>
      <c r="L11" s="22"/>
      <c r="M11" s="22"/>
      <c r="N11" s="9"/>
      <c r="O11" s="8"/>
    </row>
    <row r="12" spans="1:18" ht="24" x14ac:dyDescent="0.4">
      <c r="A12" s="8"/>
      <c r="B12" s="9"/>
      <c r="C12" s="1"/>
      <c r="D12" s="2" t="s">
        <v>137</v>
      </c>
      <c r="E12" s="2"/>
      <c r="F12" s="2"/>
      <c r="G12" s="2"/>
      <c r="H12" s="2"/>
      <c r="I12" s="2"/>
      <c r="J12" s="2"/>
      <c r="K12" s="2"/>
      <c r="N12" s="9"/>
      <c r="O12" s="8"/>
    </row>
    <row r="13" spans="1:18" x14ac:dyDescent="0.25">
      <c r="A13" s="8"/>
      <c r="B13" s="9"/>
      <c r="C13" s="1"/>
      <c r="D13" s="22"/>
      <c r="E13" s="22"/>
      <c r="F13" s="22"/>
      <c r="G13" s="22"/>
      <c r="H13" s="22"/>
      <c r="I13" s="22"/>
      <c r="J13" s="22"/>
      <c r="K13" s="22"/>
      <c r="N13" s="9"/>
      <c r="O13" s="8"/>
    </row>
    <row r="14" spans="1:18" ht="27" x14ac:dyDescent="0.25">
      <c r="A14" s="8"/>
      <c r="B14" s="9"/>
      <c r="C14" s="1"/>
      <c r="D14" s="203" t="s">
        <v>138</v>
      </c>
      <c r="E14" s="187" t="s">
        <v>108</v>
      </c>
      <c r="F14" s="187" t="s">
        <v>139</v>
      </c>
      <c r="G14" s="187" t="s">
        <v>140</v>
      </c>
      <c r="H14" s="187" t="s">
        <v>141</v>
      </c>
      <c r="I14" s="187" t="s">
        <v>142</v>
      </c>
      <c r="J14" s="187" t="s">
        <v>143</v>
      </c>
      <c r="K14" s="187" t="s">
        <v>144</v>
      </c>
      <c r="L14" s="204" t="s">
        <v>145</v>
      </c>
      <c r="M14" s="23"/>
      <c r="N14" s="9"/>
      <c r="O14" s="8"/>
    </row>
    <row r="15" spans="1:18" s="43" customFormat="1" ht="22.5" customHeight="1" thickBot="1" x14ac:dyDescent="0.3">
      <c r="A15" s="205"/>
      <c r="B15" s="206"/>
      <c r="C15" s="207">
        <v>1</v>
      </c>
      <c r="D15" s="217"/>
      <c r="E15" s="220"/>
      <c r="F15" s="219"/>
      <c r="G15" s="190"/>
      <c r="H15" s="193"/>
      <c r="I15" s="194">
        <f>((E15*(1+F15+G15+(F15*G15)))*(1+H15))/1950</f>
        <v>0</v>
      </c>
      <c r="J15" s="191"/>
      <c r="K15" s="196"/>
      <c r="L15" s="194">
        <f>D15*I15*J15*K15</f>
        <v>0</v>
      </c>
      <c r="N15" s="206"/>
      <c r="O15" s="205"/>
      <c r="P15"/>
      <c r="Q15"/>
      <c r="R15"/>
    </row>
    <row r="16" spans="1:18" s="43" customFormat="1" ht="22.5" customHeight="1" thickTop="1" thickBot="1" x14ac:dyDescent="0.3">
      <c r="A16" s="205"/>
      <c r="B16" s="206"/>
      <c r="C16" s="207">
        <v>2</v>
      </c>
      <c r="D16" s="217"/>
      <c r="E16" s="220"/>
      <c r="F16" s="195"/>
      <c r="G16" s="190"/>
      <c r="H16" s="193"/>
      <c r="I16" s="194">
        <f>((E16*(1+F16+G16+(F16*G16)))*(1+H16))/1950</f>
        <v>0</v>
      </c>
      <c r="J16" s="192"/>
      <c r="K16" s="197"/>
      <c r="L16" s="194">
        <f t="shared" ref="L16:L19" si="0">D16*I16*J16*K16</f>
        <v>0</v>
      </c>
      <c r="N16" s="206"/>
      <c r="O16" s="205"/>
      <c r="P16"/>
      <c r="Q16"/>
      <c r="R16"/>
    </row>
    <row r="17" spans="1:15" s="43" customFormat="1" ht="22.5" customHeight="1" thickTop="1" thickBot="1" x14ac:dyDescent="0.3">
      <c r="A17" s="205"/>
      <c r="B17" s="206"/>
      <c r="C17" s="207">
        <v>3</v>
      </c>
      <c r="D17" s="217"/>
      <c r="E17" s="218"/>
      <c r="F17" s="195"/>
      <c r="G17" s="190"/>
      <c r="H17" s="195"/>
      <c r="I17" s="194">
        <f t="shared" ref="I17" si="1">((E17*(1+F17+G17+(F17*G17)))*(1+H17))/1950</f>
        <v>0</v>
      </c>
      <c r="J17" s="192"/>
      <c r="K17" s="197"/>
      <c r="L17" s="194">
        <f t="shared" si="0"/>
        <v>0</v>
      </c>
      <c r="N17" s="206"/>
      <c r="O17" s="205"/>
    </row>
    <row r="18" spans="1:15" s="43" customFormat="1" ht="22.5" customHeight="1" thickTop="1" thickBot="1" x14ac:dyDescent="0.3">
      <c r="A18" s="205"/>
      <c r="B18" s="206"/>
      <c r="C18" s="207">
        <v>4</v>
      </c>
      <c r="D18" s="217"/>
      <c r="E18" s="218"/>
      <c r="F18" s="195"/>
      <c r="G18" s="190"/>
      <c r="H18" s="195"/>
      <c r="I18" s="194">
        <f>((E18*(1+F18+G18+(F18*G18)))*(1+H18))/1950</f>
        <v>0</v>
      </c>
      <c r="J18" s="192"/>
      <c r="K18" s="197"/>
      <c r="L18" s="194">
        <f t="shared" si="0"/>
        <v>0</v>
      </c>
      <c r="N18" s="206"/>
      <c r="O18" s="205"/>
    </row>
    <row r="19" spans="1:15" s="43" customFormat="1" ht="22.5" customHeight="1" thickTop="1" thickBot="1" x14ac:dyDescent="0.3">
      <c r="A19" s="205"/>
      <c r="B19" s="206"/>
      <c r="C19" s="207">
        <v>5</v>
      </c>
      <c r="D19" s="217"/>
      <c r="E19" s="218"/>
      <c r="F19" s="195"/>
      <c r="G19" s="190"/>
      <c r="H19" s="195"/>
      <c r="I19" s="194">
        <f>((E19*(1+F19+G19+(F19*G19)))*(1+H19))/1950</f>
        <v>0</v>
      </c>
      <c r="J19" s="192"/>
      <c r="K19" s="197"/>
      <c r="L19" s="194">
        <f t="shared" si="0"/>
        <v>0</v>
      </c>
      <c r="N19" s="206"/>
      <c r="O19" s="205"/>
    </row>
    <row r="20" spans="1:15" ht="15.75" thickTop="1" x14ac:dyDescent="0.25">
      <c r="A20" s="8"/>
      <c r="B20" s="9"/>
      <c r="C20" s="1"/>
      <c r="D20" s="198" t="str">
        <f>IF(COUNTIF(G15:G19,"&gt;"&amp;'Lønn uten undervisningstid'!$P$4)&gt;0,'Lønn uten undervisningstid'!$P$19,"")</f>
        <v/>
      </c>
      <c r="E20" s="22"/>
      <c r="F20" s="22"/>
      <c r="G20" s="22"/>
      <c r="H20" s="22"/>
      <c r="I20" s="22"/>
      <c r="J20" s="22"/>
      <c r="K20" s="22"/>
      <c r="L20" s="22"/>
      <c r="N20" s="9"/>
      <c r="O20" s="8"/>
    </row>
    <row r="21" spans="1:15" x14ac:dyDescent="0.25">
      <c r="A21" s="8"/>
      <c r="B21" s="9"/>
      <c r="C21" s="1"/>
      <c r="D21" s="268" t="str">
        <f>IF(COUNTIF(I15:I19,"&gt;"&amp;'Lønn uten undervisningstid'!$P$3)&gt;0,'Lønn uten undervisningstid'!P17,"")</f>
        <v/>
      </c>
      <c r="E21" s="268"/>
      <c r="F21" s="268"/>
      <c r="G21" s="268"/>
      <c r="H21" s="268"/>
      <c r="I21" s="268"/>
      <c r="J21" s="268"/>
      <c r="K21" s="268"/>
      <c r="L21" s="268"/>
      <c r="N21" s="9"/>
      <c r="O21" s="8"/>
    </row>
    <row r="22" spans="1:15" x14ac:dyDescent="0.25">
      <c r="A22" s="8"/>
      <c r="B22" s="9"/>
      <c r="C22" s="1"/>
      <c r="D22" s="268"/>
      <c r="E22" s="268"/>
      <c r="F22" s="268"/>
      <c r="G22" s="268"/>
      <c r="H22" s="268"/>
      <c r="I22" s="268"/>
      <c r="J22" s="268"/>
      <c r="K22" s="268"/>
      <c r="L22" s="268"/>
      <c r="N22" s="9"/>
      <c r="O22" s="8"/>
    </row>
    <row r="23" spans="1:15" x14ac:dyDescent="0.25">
      <c r="A23" s="8"/>
      <c r="B23" s="9"/>
      <c r="C23" s="1"/>
      <c r="D23" s="230"/>
      <c r="E23" s="230"/>
      <c r="F23" s="230"/>
      <c r="G23" s="230"/>
      <c r="H23" s="230"/>
      <c r="I23" s="230"/>
      <c r="J23" s="230"/>
      <c r="K23" s="230"/>
      <c r="L23" s="230"/>
      <c r="N23" s="9"/>
      <c r="O23" s="8"/>
    </row>
    <row r="24" spans="1:15" ht="24" x14ac:dyDescent="0.4">
      <c r="A24" s="8"/>
      <c r="B24" s="9"/>
      <c r="C24" s="1"/>
      <c r="D24" s="2" t="s">
        <v>146</v>
      </c>
      <c r="E24" s="2"/>
      <c r="F24" s="2"/>
      <c r="G24" s="2"/>
      <c r="H24" s="2"/>
      <c r="I24" s="2"/>
      <c r="J24" s="2"/>
      <c r="N24" s="9"/>
      <c r="O24" s="8"/>
    </row>
    <row r="25" spans="1:15" x14ac:dyDescent="0.25">
      <c r="A25" s="8"/>
      <c r="B25" s="9"/>
      <c r="C25" s="1"/>
      <c r="D25" s="22"/>
      <c r="E25" s="22"/>
      <c r="F25" s="22"/>
      <c r="G25" s="22"/>
      <c r="H25" s="22"/>
      <c r="I25" s="22"/>
      <c r="J25" s="22"/>
      <c r="K25" s="22"/>
      <c r="N25" s="9"/>
      <c r="O25" s="8"/>
    </row>
    <row r="26" spans="1:15" ht="50.25" customHeight="1" x14ac:dyDescent="0.25">
      <c r="A26" s="8"/>
      <c r="B26" s="9"/>
      <c r="C26" s="1"/>
      <c r="D26" s="273" t="s">
        <v>147</v>
      </c>
      <c r="E26" s="273"/>
      <c r="F26" s="187" t="s">
        <v>139</v>
      </c>
      <c r="G26" s="187" t="s">
        <v>140</v>
      </c>
      <c r="H26" s="187" t="s">
        <v>141</v>
      </c>
      <c r="I26" s="187" t="s">
        <v>142</v>
      </c>
      <c r="J26" s="273" t="s">
        <v>148</v>
      </c>
      <c r="K26" s="273"/>
      <c r="L26" s="204" t="s">
        <v>145</v>
      </c>
      <c r="M26" s="23"/>
      <c r="N26" s="9"/>
      <c r="O26" s="8"/>
    </row>
    <row r="27" spans="1:15" ht="22.5" customHeight="1" thickBot="1" x14ac:dyDescent="0.3">
      <c r="A27" s="8"/>
      <c r="B27" s="9"/>
      <c r="C27" s="1">
        <v>1</v>
      </c>
      <c r="D27" s="269"/>
      <c r="E27" s="270"/>
      <c r="F27" s="193"/>
      <c r="G27" s="199"/>
      <c r="H27" s="193"/>
      <c r="I27" s="194">
        <f>((D27*(1+F27+G27+(F27*G27)))*(1+H27))/1950</f>
        <v>0</v>
      </c>
      <c r="J27" s="271"/>
      <c r="K27" s="272"/>
      <c r="L27" s="194">
        <f>J27*I27</f>
        <v>0</v>
      </c>
      <c r="N27" s="9"/>
      <c r="O27" s="8"/>
    </row>
    <row r="28" spans="1:15" ht="22.5" customHeight="1" thickTop="1" thickBot="1" x14ac:dyDescent="0.3">
      <c r="A28" s="8"/>
      <c r="B28" s="9"/>
      <c r="C28" s="1">
        <v>2</v>
      </c>
      <c r="D28" s="269"/>
      <c r="E28" s="270"/>
      <c r="F28" s="193"/>
      <c r="G28" s="199"/>
      <c r="H28" s="193"/>
      <c r="I28" s="194">
        <f>((D28*(1+F28+G28+(F28*G28)))*(1+H28))/1950</f>
        <v>0</v>
      </c>
      <c r="J28" s="271"/>
      <c r="K28" s="272"/>
      <c r="L28" s="194">
        <f>J28*I28</f>
        <v>0</v>
      </c>
      <c r="N28" s="9"/>
      <c r="O28" s="8"/>
    </row>
    <row r="29" spans="1:15" ht="22.5" customHeight="1" thickTop="1" thickBot="1" x14ac:dyDescent="0.3">
      <c r="A29" s="8"/>
      <c r="B29" s="9"/>
      <c r="C29" s="1">
        <v>3</v>
      </c>
      <c r="D29" s="269"/>
      <c r="E29" s="270"/>
      <c r="F29" s="193"/>
      <c r="G29" s="199"/>
      <c r="H29" s="193"/>
      <c r="I29" s="194"/>
      <c r="J29" s="271"/>
      <c r="K29" s="272"/>
      <c r="L29" s="194">
        <f>J29*I29</f>
        <v>0</v>
      </c>
      <c r="N29" s="9"/>
      <c r="O29" s="8"/>
    </row>
    <row r="30" spans="1:15" ht="15.75" thickTop="1" x14ac:dyDescent="0.25">
      <c r="A30" s="8"/>
      <c r="B30" s="9"/>
      <c r="C30" s="1"/>
      <c r="D30" s="198" t="str">
        <f>IF(COUNTIF(G25:G29,"&gt;"&amp;'Lønn uten undervisningstid'!$P$4)&gt;0,'Lønn uten undervisningstid'!$P$19,"")</f>
        <v/>
      </c>
      <c r="E30" s="22"/>
      <c r="F30" s="22"/>
      <c r="G30" s="22"/>
      <c r="H30" s="22"/>
      <c r="I30" s="22"/>
      <c r="J30" s="22"/>
      <c r="K30" s="22"/>
      <c r="L30" s="22"/>
      <c r="N30" s="9"/>
      <c r="O30" s="8"/>
    </row>
    <row r="31" spans="1:15" x14ac:dyDescent="0.25">
      <c r="A31" s="8"/>
      <c r="B31" s="10"/>
      <c r="C31" s="22"/>
      <c r="D31" s="268" t="str">
        <f>IF(COUNTIF(I27:I29,"&gt;"&amp;'Lønn uten undervisningstid'!$P$3)&gt;0,'Lønn uten undervisningstid'!$P$17,"")</f>
        <v/>
      </c>
      <c r="E31" s="268"/>
      <c r="F31" s="268"/>
      <c r="G31" s="268"/>
      <c r="H31" s="268"/>
      <c r="I31" s="268"/>
      <c r="J31" s="268"/>
      <c r="K31" s="268"/>
      <c r="L31" s="268"/>
      <c r="N31" s="9"/>
      <c r="O31" s="8"/>
    </row>
    <row r="32" spans="1:15" x14ac:dyDescent="0.25">
      <c r="A32" s="8"/>
      <c r="B32" s="10"/>
      <c r="C32" s="22"/>
      <c r="D32" s="268"/>
      <c r="E32" s="268"/>
      <c r="F32" s="268"/>
      <c r="G32" s="268"/>
      <c r="H32" s="268"/>
      <c r="I32" s="268"/>
      <c r="J32" s="268"/>
      <c r="K32" s="268"/>
      <c r="L32" s="268"/>
      <c r="N32" s="9"/>
      <c r="O32" s="8"/>
    </row>
    <row r="33" spans="1:15" x14ac:dyDescent="0.25">
      <c r="A33" s="8"/>
      <c r="B33" s="10"/>
      <c r="C33" s="22"/>
      <c r="D33" s="230"/>
      <c r="E33" s="230"/>
      <c r="F33" s="230"/>
      <c r="G33" s="230"/>
      <c r="H33" s="230"/>
      <c r="I33" s="230"/>
      <c r="J33" s="230"/>
      <c r="K33" s="230"/>
      <c r="L33" s="230"/>
      <c r="N33" s="9"/>
      <c r="O33" s="8"/>
    </row>
    <row r="34" spans="1:15" ht="18.75" x14ac:dyDescent="0.25">
      <c r="A34" s="8"/>
      <c r="B34" s="10"/>
      <c r="C34" s="22"/>
      <c r="D34" s="208" t="str">
        <f>IF(L34&lt;30000,"","🛑 Dere kan søke på maks 30 000 kroner for dette tiltaket.")</f>
        <v/>
      </c>
      <c r="E34" s="22"/>
      <c r="F34" s="22"/>
      <c r="G34" s="22"/>
      <c r="H34" s="3"/>
      <c r="I34" s="22"/>
      <c r="J34" s="22"/>
      <c r="K34" s="22"/>
      <c r="L34" s="13">
        <f>MIN(SUM(L15:L29),30000)</f>
        <v>0</v>
      </c>
      <c r="N34" s="9"/>
      <c r="O34" s="8"/>
    </row>
    <row r="35" spans="1:15" x14ac:dyDescent="0.25">
      <c r="A35" s="8"/>
      <c r="B35" s="10"/>
      <c r="C35" s="22"/>
      <c r="D35" s="208"/>
      <c r="E35" s="22"/>
      <c r="F35" s="22"/>
      <c r="G35" s="22"/>
      <c r="H35" s="22"/>
      <c r="I35" s="22"/>
      <c r="J35" s="22"/>
      <c r="K35" s="22"/>
      <c r="L35" s="22"/>
      <c r="N35" s="9"/>
      <c r="O35" s="8"/>
    </row>
    <row r="36" spans="1:15" ht="15.75" customHeight="1" x14ac:dyDescent="0.25">
      <c r="A36" s="8"/>
      <c r="B36" s="10"/>
      <c r="C36" s="22"/>
      <c r="D36" s="3" t="s">
        <v>94</v>
      </c>
      <c r="E36" s="22"/>
      <c r="F36" s="22"/>
      <c r="G36" s="22"/>
      <c r="H36" s="22"/>
      <c r="I36" s="22"/>
      <c r="J36" s="22"/>
      <c r="K36" s="22"/>
      <c r="N36" s="9"/>
      <c r="O36" s="8"/>
    </row>
    <row r="37" spans="1:15" ht="15.75" customHeight="1" x14ac:dyDescent="0.25">
      <c r="A37" s="8"/>
      <c r="B37" s="10"/>
      <c r="C37" s="22"/>
      <c r="D37" s="258"/>
      <c r="E37" s="259"/>
      <c r="F37" s="259"/>
      <c r="G37" s="259"/>
      <c r="H37" s="259"/>
      <c r="I37" s="259"/>
      <c r="J37" s="259"/>
      <c r="K37" s="259"/>
      <c r="L37" s="260"/>
      <c r="N37" s="9"/>
      <c r="O37" s="8"/>
    </row>
    <row r="38" spans="1:15" ht="15.75" customHeight="1" x14ac:dyDescent="0.25">
      <c r="A38" s="8"/>
      <c r="B38" s="10"/>
      <c r="C38" s="22"/>
      <c r="D38" s="252"/>
      <c r="E38" s="253"/>
      <c r="F38" s="253"/>
      <c r="G38" s="253"/>
      <c r="H38" s="253"/>
      <c r="I38" s="253"/>
      <c r="J38" s="253"/>
      <c r="K38" s="253"/>
      <c r="L38" s="254"/>
      <c r="N38" s="9"/>
      <c r="O38" s="8"/>
    </row>
    <row r="39" spans="1:15" ht="15.75" customHeight="1" x14ac:dyDescent="0.25">
      <c r="A39" s="8"/>
      <c r="B39" s="10"/>
      <c r="C39" s="22"/>
      <c r="D39" s="252"/>
      <c r="E39" s="253"/>
      <c r="F39" s="253"/>
      <c r="G39" s="253"/>
      <c r="H39" s="253"/>
      <c r="I39" s="253"/>
      <c r="J39" s="253"/>
      <c r="K39" s="253"/>
      <c r="L39" s="254"/>
      <c r="N39" s="9"/>
      <c r="O39" s="8"/>
    </row>
    <row r="40" spans="1:15" ht="15.75" customHeight="1" x14ac:dyDescent="0.25">
      <c r="A40" s="8"/>
      <c r="B40" s="10"/>
      <c r="C40" s="22"/>
      <c r="D40" s="252"/>
      <c r="E40" s="253"/>
      <c r="F40" s="253"/>
      <c r="G40" s="253"/>
      <c r="H40" s="253"/>
      <c r="I40" s="253"/>
      <c r="J40" s="253"/>
      <c r="K40" s="253"/>
      <c r="L40" s="254"/>
      <c r="N40" s="9"/>
      <c r="O40" s="8"/>
    </row>
    <row r="41" spans="1:15" x14ac:dyDescent="0.25">
      <c r="A41" s="8"/>
      <c r="B41" s="9"/>
      <c r="D41" s="252"/>
      <c r="E41" s="253"/>
      <c r="F41" s="253"/>
      <c r="G41" s="253"/>
      <c r="H41" s="253"/>
      <c r="I41" s="253"/>
      <c r="J41" s="253"/>
      <c r="K41" s="253"/>
      <c r="L41" s="254"/>
      <c r="M41" s="162"/>
      <c r="N41" s="9"/>
      <c r="O41" s="8"/>
    </row>
    <row r="42" spans="1:15" x14ac:dyDescent="0.25">
      <c r="A42" s="8"/>
      <c r="B42" s="9"/>
      <c r="D42" s="255"/>
      <c r="E42" s="256"/>
      <c r="F42" s="256"/>
      <c r="G42" s="256"/>
      <c r="H42" s="256"/>
      <c r="I42" s="256"/>
      <c r="J42" s="256"/>
      <c r="K42" s="256"/>
      <c r="L42" s="257"/>
      <c r="M42" s="162"/>
      <c r="N42" s="9"/>
      <c r="O42" s="8"/>
    </row>
    <row r="43" spans="1:15" x14ac:dyDescent="0.25">
      <c r="A43" s="8"/>
      <c r="B43" s="9"/>
      <c r="E43" s="5"/>
      <c r="F43" s="117"/>
      <c r="N43" s="9"/>
      <c r="O43" s="8"/>
    </row>
    <row r="44" spans="1:15" x14ac:dyDescent="0.25">
      <c r="A44" s="8"/>
      <c r="B44" s="9"/>
      <c r="C44" s="9"/>
      <c r="D44" s="9"/>
      <c r="E44" s="9"/>
      <c r="F44" s="92"/>
      <c r="G44" s="9"/>
      <c r="H44" s="9"/>
      <c r="I44" s="9"/>
      <c r="J44" s="9"/>
      <c r="K44" s="9"/>
      <c r="L44" s="9"/>
      <c r="M44" s="9"/>
      <c r="N44" s="9"/>
      <c r="O44" s="8"/>
    </row>
    <row r="45" spans="1:15" x14ac:dyDescent="0.25">
      <c r="A45" s="8"/>
      <c r="B45" s="9"/>
      <c r="C45" s="9"/>
      <c r="D45" s="9"/>
      <c r="E45" s="9"/>
      <c r="F45" s="92"/>
      <c r="G45" s="9"/>
      <c r="H45" s="9"/>
      <c r="I45" s="9"/>
      <c r="J45" s="9"/>
      <c r="K45" s="9"/>
      <c r="L45" s="9"/>
      <c r="M45" s="9"/>
      <c r="N45" s="9"/>
      <c r="O45" s="8"/>
    </row>
    <row r="46" spans="1:15" ht="6" customHeight="1" x14ac:dyDescent="0.25">
      <c r="A46" s="8"/>
      <c r="B46" s="8"/>
      <c r="C46" s="8"/>
      <c r="D46" s="8"/>
      <c r="E46" s="8"/>
      <c r="F46" s="91"/>
      <c r="G46" s="8"/>
      <c r="H46" s="8"/>
      <c r="I46" s="8"/>
      <c r="J46" s="8"/>
      <c r="K46" s="8"/>
      <c r="L46" s="8"/>
      <c r="M46" s="8"/>
      <c r="N46" s="8"/>
      <c r="O46" s="8"/>
    </row>
    <row r="47" spans="1:15" x14ac:dyDescent="0.25"/>
    <row r="48" spans="1:15" x14ac:dyDescent="0.25"/>
    <row r="55" x14ac:dyDescent="0.25"/>
    <row r="56" x14ac:dyDescent="0.25"/>
    <row r="57" x14ac:dyDescent="0.25"/>
    <row r="58" x14ac:dyDescent="0.25"/>
    <row r="59" x14ac:dyDescent="0.25"/>
    <row r="60" x14ac:dyDescent="0.25"/>
  </sheetData>
  <sheetProtection sheet="1" objects="1" scenarios="1"/>
  <mergeCells count="21">
    <mergeCell ref="I7:L7"/>
    <mergeCell ref="G8:H8"/>
    <mergeCell ref="D4:G4"/>
    <mergeCell ref="D6:G6"/>
    <mergeCell ref="D5:G5"/>
    <mergeCell ref="I4:L4"/>
    <mergeCell ref="I5:L5"/>
    <mergeCell ref="I6:L6"/>
    <mergeCell ref="D21:L22"/>
    <mergeCell ref="D31:L32"/>
    <mergeCell ref="D37:L38"/>
    <mergeCell ref="D39:L40"/>
    <mergeCell ref="D41:L42"/>
    <mergeCell ref="D28:E28"/>
    <mergeCell ref="J28:K28"/>
    <mergeCell ref="D27:E27"/>
    <mergeCell ref="D26:E26"/>
    <mergeCell ref="D29:E29"/>
    <mergeCell ref="J27:K27"/>
    <mergeCell ref="J29:K29"/>
    <mergeCell ref="J26:K26"/>
  </mergeCells>
  <phoneticPr fontId="6" type="noConversion"/>
  <dataValidations count="5">
    <dataValidation type="decimal" errorStyle="information" operator="lessThanOrEqual" allowBlank="1" showInputMessage="1" showErrorMessage="1" errorTitle="Ugyldig verdig" error="fdfdfd" promptTitle="Arbeidsgiversandel av pensjon" prompt="_x000a_Oppgi arbeidsgivers andel av pensjon._x000a__x000a_Viktig: dette skal ikke inkluderes i satsen: reguleringspremie, premiefond, utjevning, selvrisiko eller egenbetaling pensjon." sqref="G16:G19 G28:G29" xr:uid="{C7B4E4D5-191D-48F8-84E7-88CB1E08E8CF}">
      <formula1>$P$4</formula1>
    </dataValidation>
    <dataValidation type="whole" operator="greaterThanOrEqual" allowBlank="1" showInputMessage="1" showErrorMessage="1" errorTitle="Ugyldig verdi" error="Årslønn må kun være tall og minst garantilønn." promptTitle="Årslønn(gjennomsnitt hvis flere)" prompt="_x000a_Skriv den ansattes årslønn (grunnlønn). Gjelder skjemaet flere ansatte, oppgir du gjennomsnittet av årslønnene. _x000a__x000a_Selv om den ansatte jobber deltid, skal du oppgi årslønn for full stilling." sqref="D27:D29" xr:uid="{E30B62DE-5F84-4883-BB20-0863358F2983}">
      <formula1>300000</formula1>
    </dataValidation>
    <dataValidation type="whole" operator="greaterThanOrEqual" allowBlank="1" showInputMessage="1" showErrorMessage="1" errorTitle="Ugyldig verdi" error="Antall ansatte må kun være tall og minst 1. " promptTitle="Antall deltakere" prompt="Oppgi hvor mange deltakere denne beregningen gjelder for." sqref="D15:D19" xr:uid="{ED4F3326-791A-45CF-A25F-97B2F80BB0D3}">
      <formula1>1</formula1>
    </dataValidation>
    <dataValidation type="decimal" errorStyle="information" operator="lessThanOrEqual" allowBlank="1" showInputMessage="1" showErrorMessage="1" errorTitle="Ugyldig verdig" error="fdfdfd" promptTitle="Arbeidsgiversandel av pensjon" prompt="Oppgi arbeidsgivers andel av pensjon._x000a__x000a_Viktig: dette skal ikke inkluderes i satsen: reguleringspremie, premiefond, utjevning, selvrisiko eller egenbetaling pensjon." sqref="G15 G27" xr:uid="{274DEBB5-A1B6-4549-9687-3D456FED82A8}">
      <formula1>$P$4</formula1>
    </dataValidation>
    <dataValidation type="whole" operator="greaterThanOrEqual" allowBlank="1" showInputMessage="1" promptTitle="Årslønn" prompt="Skriv den ansattes årslønn (grunnlønn). Gjelder utregningen flere ansatte, oppgir du gjennomsnittet av årslønnene. _x000a__x000a_Selv om den ansatte jobber deltid, skal du oppgi årslønn for full stilling._x000a_" sqref="E15:E19" xr:uid="{677DE715-8876-447F-9590-EC28B197AC1C}">
      <formula1>0</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D6CEF090-1031-45D8-A765-EF71F9956402}">
            <xm:f>G15&gt;'Lønn uten undervisningstid'!$P$4</xm:f>
            <x14:dxf>
              <font>
                <b/>
                <i val="0"/>
                <strike val="0"/>
                <color rgb="FF0070C0"/>
              </font>
            </x14:dxf>
          </x14:cfRule>
          <xm:sqref>G15:G19</xm:sqref>
        </x14:conditionalFormatting>
        <x14:conditionalFormatting xmlns:xm="http://schemas.microsoft.com/office/excel/2006/main">
          <x14:cfRule type="expression" priority="1" id="{9ED69071-D061-4FF3-95AE-8666D4D4B898}">
            <xm:f>G27&gt;'Lønn uten undervisningstid'!$P$4</xm:f>
            <x14:dxf>
              <font>
                <b/>
                <i val="0"/>
                <strike val="0"/>
                <color rgb="FF0070C0"/>
              </font>
            </x14:dxf>
          </x14:cfRule>
          <xm:sqref>G27:G29</xm:sqref>
        </x14:conditionalFormatting>
        <x14:conditionalFormatting xmlns:xm="http://schemas.microsoft.com/office/excel/2006/main">
          <x14:cfRule type="expression" priority="3" id="{5FC81A75-75DA-4624-97B2-EFF4E34532A2}">
            <xm:f>I15&gt;'Lønn uten undervisningstid'!$P$3</xm:f>
            <x14:dxf>
              <font>
                <b/>
                <i val="0"/>
                <strike val="0"/>
                <color rgb="FF0070C0"/>
              </font>
            </x14:dxf>
          </x14:cfRule>
          <xm:sqref>I15:I19</xm:sqref>
        </x14:conditionalFormatting>
        <x14:conditionalFormatting xmlns:xm="http://schemas.microsoft.com/office/excel/2006/main">
          <x14:cfRule type="expression" priority="4" id="{9C4FFBC3-BEC1-4AB3-A095-F024285CA54E}">
            <xm:f>I27&gt;'Lønn uten undervisningstid'!$P$3</xm:f>
            <x14:dxf>
              <font>
                <b/>
                <i val="0"/>
                <strike val="0"/>
                <color rgb="FF0070C0"/>
              </font>
            </x14:dxf>
          </x14:cfRule>
          <xm:sqref>I27:I29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Ugyldig verdi" error="Feriepengersatsen må være 12% eller 14,2% av feriepengegrunnlaget. _x000a__x000a_Velg fra nedtrekksmenyen." promptTitle="Feriepenger" prompt="_x000a_Velg 12 eller 14,3 % av feriepengegrunnlaget. _x000a__x000a_Det vanligste er 12 %. 14,3 % brukes for ansatte over 60 år. Denne gruppen har rett på av 14,3 % av feriepengegrunnlaget ved seks ukers ferie." xr:uid="{27C42D2E-1200-4C27-B257-F3E514E5F8D9}">
          <x14:formula1>
            <xm:f>Innstillinger!$B$58:$B$60</xm:f>
          </x14:formula1>
          <xm:sqref>F16:F19 F28:F29</xm:sqref>
        </x14:dataValidation>
        <x14:dataValidation type="list" allowBlank="1" showInputMessage="1" showErrorMessage="1" errorTitle="Ugyldig verdi" error="Velg riktig sats fra nedtrekksmenyen._x000a__x000a_Sone   Sats _x000a_I           14,1 %_x000a_II          10,6 %_x000a_III           6,4 %_x000a_IV           5,1 %_x000a_IVa         7,9 %_x000a_V            0,0 %_x000a_" promptTitle="Arbeidsgiveravgift" prompt="_x000a_Oppgi satsen for arbeidsgiveravgift for din kommune. Arbeidsgiveravgiften er regionalt differensiert og fastsettes av Stortinget hvert år. _x000a__x000a_Klikk på linken til venstre for å finne riktig arbeidsgiveravgift for din kommune._x000a_" xr:uid="{BF059ED4-AC2D-43E0-9B0E-FD6DCBA85C2A}">
          <x14:formula1>
            <xm:f>Innstillinger!$B$48:$B$54</xm:f>
          </x14:formula1>
          <xm:sqref>H16:H19 H28:H29</xm:sqref>
        </x14:dataValidation>
        <x14:dataValidation type="list" allowBlank="1" showInputMessage="1" showErrorMessage="1" errorTitle="Ugyldig verdi" error="Feriepengersatsen må være 12% eller 14,2% av feriepengegrunnlaget. _x000a__x000a_Velg fra nedtrekksmenyen." promptTitle="Feriepenger" prompt="Velg &quot;12 %&quot; eller &quot;14,3 %&quot; - feriepengegrunnlag. _x000a__x000a_Det vanligste er 12 %. 14,3 % brukes for ansatte over 60 år. Denne gruppen har rett på av 14,3 % av feriepengegrunnlaget ved seks ukers ferie." xr:uid="{461515B1-49B0-41DC-87A1-CB5765A70541}">
          <x14:formula1>
            <xm:f>Innstillinger!$B$58:$B$60</xm:f>
          </x14:formula1>
          <xm:sqref>F15 F27</xm:sqref>
        </x14:dataValidation>
        <x14:dataValidation type="list" allowBlank="1" showInputMessage="1" showErrorMessage="1" errorTitle="Ugyldig verdi" error="Velg riktig sats fra nedtrekksmenyen._x000a__x000a_Sone   Sats _x000a_I           14,1 %_x000a_II          10,6 %_x000a_III           6,4 %_x000a_IV           5,1 %_x000a_IVa         7,9 %_x000a_V            0,0 %_x000a_" promptTitle="Arbeidsgiveravgift" prompt="Oppgi satsen for arbeidsgiveravgift for din kommune. Arbeidsgiveravgiften er regionalt differensiert og fastsettes av Stortinget hvert år. _x000a__x000a_Klikk på linken til venstre for å finne riktig arbeidsgiveravgift for din kommune._x000a_" xr:uid="{EEC52052-F6F3-4BA0-8B85-7983BB491B43}">
          <x14:formula1>
            <xm:f>Innstillinger!$B$48:$B$54</xm:f>
          </x14:formula1>
          <xm:sqref>H15 H27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110C6-3B2F-4CF1-B6BF-2540C848C126}">
  <sheetPr>
    <tabColor rgb="FFF2E7E7"/>
    <pageSetUpPr autoPageBreaks="0"/>
  </sheetPr>
  <dimension ref="A1:R44"/>
  <sheetViews>
    <sheetView showGridLines="0" zoomScaleNormal="100" workbookViewId="0">
      <pane ySplit="1" topLeftCell="A2" activePane="bottomLeft" state="frozen"/>
      <selection pane="bottomLeft"/>
    </sheetView>
  </sheetViews>
  <sheetFormatPr baseColWidth="10" defaultColWidth="0" defaultRowHeight="15" zeroHeight="1" x14ac:dyDescent="0.25"/>
  <cols>
    <col min="1" max="1" width="1.42578125" customWidth="1"/>
    <col min="2" max="3" width="4.28515625" customWidth="1"/>
    <col min="4" max="4" width="43.140625" customWidth="1"/>
    <col min="5" max="5" width="11.140625" customWidth="1"/>
    <col min="6" max="6" width="19.7109375" customWidth="1"/>
    <col min="7" max="9" width="9.140625" customWidth="1"/>
    <col min="10" max="10" width="17.140625" customWidth="1"/>
    <col min="11" max="11" width="13.42578125" customWidth="1"/>
    <col min="12" max="12" width="17.140625" customWidth="1"/>
    <col min="13" max="13" width="6.140625" customWidth="1"/>
    <col min="14" max="14" width="4.28515625" customWidth="1"/>
    <col min="15" max="15" width="1.42578125" customWidth="1"/>
    <col min="16" max="16384" width="11.42578125" hidden="1"/>
  </cols>
  <sheetData>
    <row r="1" spans="1:18" s="212" customFormat="1" ht="47.1" customHeight="1" x14ac:dyDescent="0.5">
      <c r="A1" s="210"/>
      <c r="B1" s="210"/>
      <c r="C1" s="174" t="s">
        <v>149</v>
      </c>
      <c r="D1" s="174"/>
      <c r="E1" s="174"/>
      <c r="F1" s="174"/>
      <c r="G1" s="174"/>
      <c r="H1" s="174"/>
      <c r="I1" s="174"/>
      <c r="J1" s="174"/>
      <c r="K1" s="174"/>
      <c r="L1" s="210"/>
      <c r="M1" s="210"/>
      <c r="N1" s="210"/>
      <c r="O1" s="210"/>
    </row>
    <row r="2" spans="1:18" ht="15" customHeight="1" x14ac:dyDescent="0.25">
      <c r="A2" s="8"/>
      <c r="B2" s="9"/>
      <c r="C2" s="9"/>
      <c r="D2" s="9"/>
      <c r="E2" s="9"/>
      <c r="F2" s="9"/>
      <c r="G2" s="9"/>
      <c r="H2" s="9"/>
      <c r="I2" s="9"/>
      <c r="J2" s="9"/>
      <c r="K2" s="9"/>
      <c r="L2" s="9"/>
      <c r="M2" s="9"/>
      <c r="N2" s="9"/>
      <c r="O2" s="8"/>
    </row>
    <row r="3" spans="1:18" ht="24" x14ac:dyDescent="0.4">
      <c r="A3" s="8"/>
      <c r="B3" s="9"/>
      <c r="C3" s="177"/>
      <c r="D3" s="180" t="s">
        <v>54</v>
      </c>
      <c r="E3" s="180"/>
      <c r="F3" s="178"/>
      <c r="G3" s="179"/>
      <c r="H3" s="189" t="s">
        <v>55</v>
      </c>
      <c r="I3" s="178"/>
      <c r="J3" s="79"/>
      <c r="K3" s="79"/>
      <c r="L3" s="79"/>
      <c r="M3" s="80"/>
      <c r="N3" s="9"/>
      <c r="O3" s="8"/>
    </row>
    <row r="4" spans="1:18" ht="25.5" customHeight="1" x14ac:dyDescent="0.25">
      <c r="A4" s="8"/>
      <c r="B4" s="9"/>
      <c r="C4" s="244" t="s">
        <v>58</v>
      </c>
      <c r="D4" s="262" t="s">
        <v>149</v>
      </c>
      <c r="E4" s="262"/>
      <c r="F4" s="228"/>
      <c r="G4" s="171" t="s">
        <v>60</v>
      </c>
      <c r="H4" s="262" t="s">
        <v>150</v>
      </c>
      <c r="I4" s="262"/>
      <c r="J4" s="262"/>
      <c r="K4" s="262"/>
      <c r="L4" s="262"/>
      <c r="M4" s="200"/>
      <c r="N4" s="9"/>
      <c r="O4" s="8"/>
    </row>
    <row r="5" spans="1:18" ht="25.5" customHeight="1" x14ac:dyDescent="0.25">
      <c r="A5" s="8"/>
      <c r="B5" s="9"/>
      <c r="C5" s="244" t="s">
        <v>58</v>
      </c>
      <c r="D5" s="262" t="s">
        <v>219</v>
      </c>
      <c r="E5" s="262"/>
      <c r="F5" s="262"/>
      <c r="G5" s="171" t="s">
        <v>60</v>
      </c>
      <c r="H5" s="262" t="s">
        <v>220</v>
      </c>
      <c r="I5" s="262"/>
      <c r="J5" s="262"/>
      <c r="K5" s="262"/>
      <c r="L5" s="262"/>
      <c r="M5" s="200"/>
      <c r="N5" s="9"/>
      <c r="O5" s="8"/>
    </row>
    <row r="6" spans="1:18" ht="25.5" customHeight="1" x14ac:dyDescent="0.25">
      <c r="A6" s="8"/>
      <c r="B6" s="9"/>
      <c r="C6" s="201"/>
      <c r="D6" s="201"/>
      <c r="E6" s="201"/>
      <c r="F6" s="201"/>
      <c r="G6" s="171" t="s">
        <v>60</v>
      </c>
      <c r="H6" s="262" t="s">
        <v>221</v>
      </c>
      <c r="I6" s="262"/>
      <c r="J6" s="262"/>
      <c r="K6" s="262"/>
      <c r="L6" s="262"/>
      <c r="M6" s="202"/>
      <c r="N6" s="9"/>
      <c r="O6" s="8"/>
    </row>
    <row r="7" spans="1:18" ht="25.5" customHeight="1" x14ac:dyDescent="0.25">
      <c r="A7" s="8"/>
      <c r="B7" s="9"/>
      <c r="C7" s="201"/>
      <c r="D7" s="228"/>
      <c r="E7" s="228"/>
      <c r="F7" s="228"/>
      <c r="G7" s="171" t="s">
        <v>60</v>
      </c>
      <c r="H7" s="262" t="s">
        <v>213</v>
      </c>
      <c r="I7" s="262"/>
      <c r="J7" s="262"/>
      <c r="K7" s="262"/>
      <c r="L7" s="262"/>
      <c r="M7" s="202"/>
      <c r="N7" s="9"/>
      <c r="O7" s="8"/>
    </row>
    <row r="8" spans="1:18" ht="22.5" customHeight="1" x14ac:dyDescent="0.25">
      <c r="A8" s="8"/>
      <c r="B8" s="9"/>
      <c r="C8" s="93"/>
      <c r="D8" s="93"/>
      <c r="E8" s="93"/>
      <c r="F8" s="93"/>
      <c r="G8" s="172"/>
      <c r="H8" s="263"/>
      <c r="I8" s="264"/>
      <c r="J8" s="83"/>
      <c r="K8" s="83"/>
      <c r="L8" s="83"/>
      <c r="M8" s="83"/>
      <c r="N8" s="9"/>
      <c r="O8" s="8"/>
    </row>
    <row r="9" spans="1:18" x14ac:dyDescent="0.25">
      <c r="A9" s="8"/>
      <c r="B9" s="9"/>
      <c r="C9" s="54"/>
      <c r="D9" s="54"/>
      <c r="E9" s="54"/>
      <c r="F9" s="54"/>
      <c r="G9" s="94"/>
      <c r="H9" s="54"/>
      <c r="I9" s="54"/>
      <c r="J9" s="54"/>
      <c r="K9" s="54"/>
      <c r="L9" s="54"/>
      <c r="M9" s="54"/>
      <c r="N9" s="9"/>
      <c r="O9" s="8"/>
    </row>
    <row r="10" spans="1:18" ht="6" customHeight="1" x14ac:dyDescent="0.25">
      <c r="A10" s="8"/>
      <c r="B10" s="8"/>
      <c r="C10" s="8"/>
      <c r="D10" s="8"/>
      <c r="E10" s="8"/>
      <c r="F10" s="8"/>
      <c r="G10" s="91"/>
      <c r="H10" s="8"/>
      <c r="I10" s="8"/>
      <c r="J10" s="8"/>
      <c r="K10" s="8"/>
      <c r="L10" s="8"/>
      <c r="M10" s="8"/>
      <c r="N10" s="8"/>
      <c r="O10" s="8"/>
    </row>
    <row r="11" spans="1:18" x14ac:dyDescent="0.25">
      <c r="A11" s="8"/>
      <c r="B11" s="9"/>
      <c r="C11" s="1"/>
      <c r="D11" s="22"/>
      <c r="E11" s="22"/>
      <c r="F11" s="22"/>
      <c r="G11" s="22"/>
      <c r="H11" s="22"/>
      <c r="I11" s="22"/>
      <c r="J11" s="22"/>
      <c r="K11" s="22"/>
      <c r="L11" s="22"/>
      <c r="M11" s="22"/>
      <c r="N11" s="9"/>
      <c r="O11" s="8"/>
    </row>
    <row r="12" spans="1:18" ht="24" x14ac:dyDescent="0.4">
      <c r="A12" s="8"/>
      <c r="B12" s="9"/>
      <c r="C12" s="1"/>
      <c r="D12" s="2" t="s">
        <v>218</v>
      </c>
      <c r="E12" s="2"/>
      <c r="F12" s="2"/>
      <c r="G12" s="2"/>
      <c r="H12" s="2"/>
      <c r="I12" s="2"/>
      <c r="J12" s="2"/>
      <c r="K12" s="2"/>
      <c r="N12" s="9"/>
      <c r="O12" s="8"/>
    </row>
    <row r="13" spans="1:18" ht="27" x14ac:dyDescent="0.25">
      <c r="A13" s="8"/>
      <c r="B13" s="9"/>
      <c r="C13" s="1"/>
      <c r="D13" s="236" t="s">
        <v>151</v>
      </c>
      <c r="E13" s="203" t="s">
        <v>215</v>
      </c>
      <c r="F13" s="187" t="s">
        <v>108</v>
      </c>
      <c r="G13" s="187" t="s">
        <v>139</v>
      </c>
      <c r="H13" s="187" t="s">
        <v>140</v>
      </c>
      <c r="I13" s="187" t="s">
        <v>141</v>
      </c>
      <c r="J13" s="187" t="s">
        <v>142</v>
      </c>
      <c r="K13" s="187" t="s">
        <v>216</v>
      </c>
      <c r="L13" s="204" t="s">
        <v>145</v>
      </c>
      <c r="M13" s="23"/>
      <c r="N13" s="9"/>
      <c r="O13" s="8"/>
    </row>
    <row r="14" spans="1:18" s="43" customFormat="1" ht="22.5" customHeight="1" thickBot="1" x14ac:dyDescent="0.3">
      <c r="A14" s="205"/>
      <c r="B14" s="206"/>
      <c r="C14" s="207">
        <v>1</v>
      </c>
      <c r="D14" s="240"/>
      <c r="E14" s="233"/>
      <c r="F14" s="220"/>
      <c r="G14" s="219"/>
      <c r="H14" s="190"/>
      <c r="I14" s="193"/>
      <c r="J14" s="194">
        <f>((F14*(1+G14+H14+(G14*H14)))*(1+I14))/1950</f>
        <v>0</v>
      </c>
      <c r="K14" s="191"/>
      <c r="L14" s="194">
        <f>E14*J14*K14</f>
        <v>0</v>
      </c>
      <c r="N14" s="206"/>
      <c r="O14" s="205"/>
      <c r="P14"/>
      <c r="Q14"/>
      <c r="R14"/>
    </row>
    <row r="15" spans="1:18" s="43" customFormat="1" ht="22.5" customHeight="1" thickTop="1" thickBot="1" x14ac:dyDescent="0.3">
      <c r="A15" s="205"/>
      <c r="B15" s="206"/>
      <c r="C15" s="207">
        <v>2</v>
      </c>
      <c r="D15" s="240"/>
      <c r="E15" s="233"/>
      <c r="F15" s="220"/>
      <c r="G15" s="219"/>
      <c r="H15" s="190"/>
      <c r="I15" s="193"/>
      <c r="J15" s="194">
        <f>((F15*(1+G15+H15+(G15*H15)))*(1+I15))/1950</f>
        <v>0</v>
      </c>
      <c r="K15" s="192"/>
      <c r="L15" s="194">
        <f t="shared" ref="L15:L18" si="0">E15*J15*K15</f>
        <v>0</v>
      </c>
      <c r="N15" s="206"/>
      <c r="O15" s="205"/>
      <c r="P15"/>
      <c r="Q15"/>
      <c r="R15"/>
    </row>
    <row r="16" spans="1:18" s="43" customFormat="1" ht="22.5" customHeight="1" thickTop="1" thickBot="1" x14ac:dyDescent="0.3">
      <c r="A16" s="205"/>
      <c r="B16" s="206"/>
      <c r="C16" s="207">
        <v>3</v>
      </c>
      <c r="D16" s="240"/>
      <c r="E16" s="233"/>
      <c r="F16" s="218"/>
      <c r="G16" s="195"/>
      <c r="H16" s="190"/>
      <c r="I16" s="195"/>
      <c r="J16" s="194">
        <f t="shared" ref="J16" si="1">((F16*(1+G16+H16+(G16*H16)))*(1+I16))/1950</f>
        <v>0</v>
      </c>
      <c r="K16" s="192"/>
      <c r="L16" s="194">
        <f t="shared" si="0"/>
        <v>0</v>
      </c>
      <c r="N16" s="206"/>
      <c r="O16" s="205"/>
    </row>
    <row r="17" spans="1:15" s="43" customFormat="1" ht="22.5" customHeight="1" thickTop="1" thickBot="1" x14ac:dyDescent="0.3">
      <c r="A17" s="205"/>
      <c r="B17" s="206"/>
      <c r="C17" s="207">
        <v>4</v>
      </c>
      <c r="D17" s="240"/>
      <c r="E17" s="233"/>
      <c r="F17" s="218"/>
      <c r="G17" s="195"/>
      <c r="H17" s="190"/>
      <c r="I17" s="195"/>
      <c r="J17" s="194">
        <f>((F17*(1+G17+H17+(G17*H17)))*(1+I17))/1950</f>
        <v>0</v>
      </c>
      <c r="K17" s="192"/>
      <c r="L17" s="194">
        <f t="shared" si="0"/>
        <v>0</v>
      </c>
      <c r="N17" s="206"/>
      <c r="O17" s="205"/>
    </row>
    <row r="18" spans="1:15" s="43" customFormat="1" ht="22.5" customHeight="1" thickTop="1" thickBot="1" x14ac:dyDescent="0.3">
      <c r="A18" s="205"/>
      <c r="B18" s="206"/>
      <c r="C18" s="207">
        <v>5</v>
      </c>
      <c r="D18" s="240"/>
      <c r="E18" s="233"/>
      <c r="F18" s="218"/>
      <c r="G18" s="195"/>
      <c r="H18" s="190"/>
      <c r="I18" s="195"/>
      <c r="J18" s="194">
        <f>((F18*(1+G18+H18+(G18*H18)))*(1+I18))/1950</f>
        <v>0</v>
      </c>
      <c r="K18" s="192"/>
      <c r="L18" s="194">
        <f t="shared" si="0"/>
        <v>0</v>
      </c>
      <c r="N18" s="206"/>
      <c r="O18" s="205"/>
    </row>
    <row r="19" spans="1:15" ht="15.75" thickTop="1" x14ac:dyDescent="0.25">
      <c r="A19" s="8"/>
      <c r="B19" s="9"/>
      <c r="C19" s="1"/>
      <c r="D19" s="198" t="str">
        <f>IF(COUNTIF(H14:H18,"&gt;"&amp;'Lønn uten undervisningstid'!$P$4)&gt;0,'Lønn uten undervisningstid'!$P$19,"")</f>
        <v/>
      </c>
      <c r="E19" s="198"/>
      <c r="F19" s="22"/>
      <c r="G19" s="22"/>
      <c r="H19" s="22"/>
      <c r="I19" s="22"/>
      <c r="J19" s="22"/>
      <c r="K19" s="22"/>
      <c r="L19" s="22"/>
      <c r="N19" s="9"/>
      <c r="O19" s="8"/>
    </row>
    <row r="20" spans="1:15" x14ac:dyDescent="0.25">
      <c r="A20" s="8"/>
      <c r="B20" s="9"/>
      <c r="C20" s="1"/>
      <c r="D20" s="268" t="str">
        <f>IF(COUNTIF(J14:J18,"&gt;"&amp;'Lønn uten undervisningstid'!$P$3)&gt;0,'Lønn uten undervisningstid'!P17,"")</f>
        <v/>
      </c>
      <c r="E20" s="268"/>
      <c r="F20" s="268"/>
      <c r="G20" s="268"/>
      <c r="H20" s="268"/>
      <c r="I20" s="268"/>
      <c r="J20" s="268"/>
      <c r="K20" s="268"/>
      <c r="L20" s="268"/>
      <c r="N20" s="9"/>
      <c r="O20" s="8"/>
    </row>
    <row r="21" spans="1:15" x14ac:dyDescent="0.25">
      <c r="A21" s="8"/>
      <c r="B21" s="9"/>
      <c r="C21" s="1"/>
      <c r="D21" s="268"/>
      <c r="E21" s="268"/>
      <c r="F21" s="268"/>
      <c r="G21" s="268"/>
      <c r="H21" s="268"/>
      <c r="I21" s="268"/>
      <c r="J21" s="268"/>
      <c r="K21" s="268"/>
      <c r="L21" s="268"/>
      <c r="N21" s="9"/>
      <c r="O21" s="8"/>
    </row>
    <row r="22" spans="1:15" x14ac:dyDescent="0.25">
      <c r="A22" s="8"/>
      <c r="B22" s="9"/>
      <c r="C22" s="1"/>
      <c r="D22" s="230"/>
      <c r="E22" s="230"/>
      <c r="F22" s="230"/>
      <c r="G22" s="230"/>
      <c r="H22" s="230"/>
      <c r="I22" s="230"/>
      <c r="J22" s="230"/>
      <c r="K22" s="230"/>
      <c r="L22" s="230"/>
      <c r="N22" s="9"/>
      <c r="O22" s="8"/>
    </row>
    <row r="23" spans="1:15" ht="24" x14ac:dyDescent="0.4">
      <c r="A23" s="8"/>
      <c r="B23" s="9"/>
      <c r="C23" s="1"/>
      <c r="D23" s="2" t="s">
        <v>214</v>
      </c>
      <c r="E23" s="2"/>
      <c r="F23" s="2"/>
      <c r="G23" s="2"/>
      <c r="H23" s="2"/>
      <c r="I23" s="2"/>
      <c r="J23" s="2"/>
      <c r="K23" s="2"/>
      <c r="N23" s="9"/>
      <c r="O23" s="8"/>
    </row>
    <row r="24" spans="1:15" ht="27" x14ac:dyDescent="0.25">
      <c r="A24" s="8"/>
      <c r="B24" s="9"/>
      <c r="C24" s="1"/>
      <c r="D24" s="280" t="s">
        <v>151</v>
      </c>
      <c r="E24" s="280"/>
      <c r="F24" s="280"/>
      <c r="G24" s="187"/>
      <c r="H24" s="187"/>
      <c r="I24" s="187"/>
      <c r="J24" s="187" t="s">
        <v>217</v>
      </c>
      <c r="K24" s="187" t="s">
        <v>216</v>
      </c>
      <c r="L24" s="204" t="s">
        <v>145</v>
      </c>
      <c r="M24" s="23"/>
      <c r="N24" s="9"/>
      <c r="O24" s="8"/>
    </row>
    <row r="25" spans="1:15" ht="22.5" customHeight="1" thickBot="1" x14ac:dyDescent="0.3">
      <c r="A25" s="8"/>
      <c r="B25" s="9"/>
      <c r="C25" s="1">
        <v>1</v>
      </c>
      <c r="D25" s="278"/>
      <c r="E25" s="278"/>
      <c r="F25" s="278"/>
      <c r="G25" s="278"/>
      <c r="H25" s="278"/>
      <c r="I25" s="279"/>
      <c r="J25" s="237"/>
      <c r="K25" s="229"/>
      <c r="L25" s="194">
        <f>K25*J25</f>
        <v>0</v>
      </c>
      <c r="N25" s="9"/>
      <c r="O25" s="8"/>
    </row>
    <row r="26" spans="1:15" ht="22.5" customHeight="1" thickTop="1" thickBot="1" x14ac:dyDescent="0.3">
      <c r="A26" s="8"/>
      <c r="B26" s="9"/>
      <c r="C26" s="1">
        <v>2</v>
      </c>
      <c r="D26" s="278"/>
      <c r="E26" s="278"/>
      <c r="F26" s="278"/>
      <c r="G26" s="278"/>
      <c r="H26" s="278"/>
      <c r="I26" s="279"/>
      <c r="J26" s="238"/>
      <c r="K26" s="234"/>
      <c r="L26" s="194">
        <f>K26*J26</f>
        <v>0</v>
      </c>
      <c r="N26" s="9"/>
      <c r="O26" s="8"/>
    </row>
    <row r="27" spans="1:15" ht="22.5" customHeight="1" thickTop="1" thickBot="1" x14ac:dyDescent="0.3">
      <c r="A27" s="8"/>
      <c r="B27" s="9"/>
      <c r="C27" s="1">
        <v>3</v>
      </c>
      <c r="D27" s="278"/>
      <c r="E27" s="278"/>
      <c r="F27" s="278"/>
      <c r="G27" s="278"/>
      <c r="H27" s="278"/>
      <c r="I27" s="279"/>
      <c r="J27" s="239"/>
      <c r="K27" s="235"/>
      <c r="L27" s="194">
        <f>K27*J27</f>
        <v>0</v>
      </c>
      <c r="N27" s="9"/>
      <c r="O27" s="8"/>
    </row>
    <row r="28" spans="1:15" ht="15.75" thickTop="1" x14ac:dyDescent="0.25">
      <c r="A28" s="8"/>
      <c r="B28" s="10"/>
      <c r="C28" s="22"/>
      <c r="D28" s="268"/>
      <c r="E28" s="268"/>
      <c r="F28" s="268"/>
      <c r="G28" s="268"/>
      <c r="H28" s="268"/>
      <c r="I28" s="268"/>
      <c r="J28" s="268"/>
      <c r="K28" s="268"/>
      <c r="L28" s="268"/>
      <c r="N28" s="9"/>
      <c r="O28" s="8"/>
    </row>
    <row r="29" spans="1:15" x14ac:dyDescent="0.25">
      <c r="A29" s="8"/>
      <c r="B29" s="10"/>
      <c r="C29" s="22"/>
      <c r="D29" s="268"/>
      <c r="E29" s="268"/>
      <c r="F29" s="268"/>
      <c r="G29" s="268"/>
      <c r="H29" s="268"/>
      <c r="I29" s="268"/>
      <c r="J29" s="268"/>
      <c r="K29" s="268"/>
      <c r="L29" s="268"/>
      <c r="N29" s="9"/>
      <c r="O29" s="8"/>
    </row>
    <row r="30" spans="1:15" x14ac:dyDescent="0.25">
      <c r="A30" s="8"/>
      <c r="B30" s="10"/>
      <c r="C30" s="22"/>
      <c r="D30" s="230"/>
      <c r="E30" s="230"/>
      <c r="F30" s="230"/>
      <c r="G30" s="230"/>
      <c r="H30" s="230"/>
      <c r="I30" s="230"/>
      <c r="J30" s="230"/>
      <c r="K30" s="230"/>
      <c r="L30" s="230"/>
      <c r="N30" s="9"/>
      <c r="O30" s="8"/>
    </row>
    <row r="31" spans="1:15" ht="18.75" x14ac:dyDescent="0.25">
      <c r="A31" s="8"/>
      <c r="B31" s="10"/>
      <c r="C31" s="22"/>
      <c r="D31" s="208" t="str">
        <f>IF(L31&lt;30000,"","🛑 Dere kan søke på maks 30 000 kroner for dette tiltaket.")</f>
        <v/>
      </c>
      <c r="E31" s="208"/>
      <c r="F31" s="22"/>
      <c r="G31" s="22"/>
      <c r="H31" s="22"/>
      <c r="I31" s="3"/>
      <c r="J31" s="22"/>
      <c r="K31" s="22"/>
      <c r="L31" s="13">
        <f>SUM(L14:L27)</f>
        <v>0</v>
      </c>
      <c r="N31" s="9"/>
      <c r="O31" s="8"/>
    </row>
    <row r="32" spans="1:15" x14ac:dyDescent="0.25">
      <c r="A32" s="8"/>
      <c r="B32" s="10"/>
      <c r="C32" s="22"/>
      <c r="D32" s="208"/>
      <c r="E32" s="208"/>
      <c r="F32" s="22"/>
      <c r="G32" s="22"/>
      <c r="H32" s="22"/>
      <c r="I32" s="22"/>
      <c r="J32" s="22"/>
      <c r="K32" s="22"/>
      <c r="L32" s="22"/>
      <c r="N32" s="9"/>
      <c r="O32" s="8"/>
    </row>
    <row r="33" spans="1:15" ht="15.75" customHeight="1" x14ac:dyDescent="0.25">
      <c r="A33" s="8"/>
      <c r="B33" s="10"/>
      <c r="C33" s="22"/>
      <c r="D33" s="3" t="s">
        <v>94</v>
      </c>
      <c r="E33" s="3"/>
      <c r="F33" s="22"/>
      <c r="G33" s="22"/>
      <c r="H33" s="22"/>
      <c r="I33" s="22"/>
      <c r="J33" s="22"/>
      <c r="K33" s="22"/>
      <c r="N33" s="9"/>
      <c r="O33" s="8"/>
    </row>
    <row r="34" spans="1:15" ht="15.75" customHeight="1" x14ac:dyDescent="0.25">
      <c r="A34" s="8"/>
      <c r="B34" s="10"/>
      <c r="C34" s="22"/>
      <c r="D34" s="258"/>
      <c r="E34" s="259"/>
      <c r="F34" s="259"/>
      <c r="G34" s="259"/>
      <c r="H34" s="259"/>
      <c r="I34" s="259"/>
      <c r="J34" s="259"/>
      <c r="K34" s="259"/>
      <c r="L34" s="260"/>
      <c r="N34" s="9"/>
      <c r="O34" s="8"/>
    </row>
    <row r="35" spans="1:15" ht="15.75" customHeight="1" x14ac:dyDescent="0.25">
      <c r="A35" s="8"/>
      <c r="B35" s="10"/>
      <c r="C35" s="22"/>
      <c r="D35" s="252"/>
      <c r="E35" s="253"/>
      <c r="F35" s="253"/>
      <c r="G35" s="253"/>
      <c r="H35" s="253"/>
      <c r="I35" s="253"/>
      <c r="J35" s="253"/>
      <c r="K35" s="253"/>
      <c r="L35" s="254"/>
      <c r="N35" s="9"/>
      <c r="O35" s="8"/>
    </row>
    <row r="36" spans="1:15" ht="15.75" customHeight="1" x14ac:dyDescent="0.25">
      <c r="A36" s="8"/>
      <c r="B36" s="10"/>
      <c r="C36" s="22"/>
      <c r="D36" s="252"/>
      <c r="E36" s="253"/>
      <c r="F36" s="253"/>
      <c r="G36" s="253"/>
      <c r="H36" s="253"/>
      <c r="I36" s="253"/>
      <c r="J36" s="253"/>
      <c r="K36" s="253"/>
      <c r="L36" s="254"/>
      <c r="N36" s="9"/>
      <c r="O36" s="8"/>
    </row>
    <row r="37" spans="1:15" ht="15.75" customHeight="1" x14ac:dyDescent="0.25">
      <c r="A37" s="8"/>
      <c r="B37" s="10"/>
      <c r="C37" s="22"/>
      <c r="D37" s="252"/>
      <c r="E37" s="253"/>
      <c r="F37" s="253"/>
      <c r="G37" s="253"/>
      <c r="H37" s="253"/>
      <c r="I37" s="253"/>
      <c r="J37" s="253"/>
      <c r="K37" s="253"/>
      <c r="L37" s="254"/>
      <c r="N37" s="9"/>
      <c r="O37" s="8"/>
    </row>
    <row r="38" spans="1:15" x14ac:dyDescent="0.25">
      <c r="A38" s="8"/>
      <c r="B38" s="9"/>
      <c r="D38" s="252"/>
      <c r="E38" s="253"/>
      <c r="F38" s="253"/>
      <c r="G38" s="253"/>
      <c r="H38" s="253"/>
      <c r="I38" s="253"/>
      <c r="J38" s="253"/>
      <c r="K38" s="253"/>
      <c r="L38" s="254"/>
      <c r="M38" s="162"/>
      <c r="N38" s="9"/>
      <c r="O38" s="8"/>
    </row>
    <row r="39" spans="1:15" x14ac:dyDescent="0.25">
      <c r="A39" s="8"/>
      <c r="B39" s="9"/>
      <c r="D39" s="255"/>
      <c r="E39" s="256"/>
      <c r="F39" s="256"/>
      <c r="G39" s="256"/>
      <c r="H39" s="256"/>
      <c r="I39" s="256"/>
      <c r="J39" s="256"/>
      <c r="K39" s="256"/>
      <c r="L39" s="257"/>
      <c r="M39" s="162"/>
      <c r="N39" s="9"/>
      <c r="O39" s="8"/>
    </row>
    <row r="40" spans="1:15" x14ac:dyDescent="0.25">
      <c r="A40" s="8"/>
      <c r="B40" s="9"/>
      <c r="F40" s="5"/>
      <c r="G40" s="117"/>
      <c r="N40" s="9"/>
      <c r="O40" s="8"/>
    </row>
    <row r="41" spans="1:15" x14ac:dyDescent="0.25">
      <c r="A41" s="8"/>
      <c r="B41" s="9"/>
      <c r="C41" s="9"/>
      <c r="D41" s="9"/>
      <c r="E41" s="9"/>
      <c r="F41" s="9"/>
      <c r="G41" s="92"/>
      <c r="H41" s="9"/>
      <c r="I41" s="9"/>
      <c r="J41" s="9"/>
      <c r="K41" s="9"/>
      <c r="L41" s="9"/>
      <c r="M41" s="9"/>
      <c r="N41" s="9"/>
      <c r="O41" s="8"/>
    </row>
    <row r="42" spans="1:15" x14ac:dyDescent="0.25">
      <c r="A42" s="8"/>
      <c r="B42" s="9"/>
      <c r="C42" s="9"/>
      <c r="D42" s="9"/>
      <c r="E42" s="9"/>
      <c r="F42" s="9"/>
      <c r="G42" s="92"/>
      <c r="H42" s="9"/>
      <c r="I42" s="9"/>
      <c r="J42" s="9"/>
      <c r="K42" s="9"/>
      <c r="L42" s="9"/>
      <c r="M42" s="9"/>
      <c r="N42" s="9"/>
      <c r="O42" s="8"/>
    </row>
    <row r="43" spans="1:15" ht="6" customHeight="1" x14ac:dyDescent="0.25">
      <c r="A43" s="8"/>
      <c r="B43" s="8"/>
      <c r="C43" s="8"/>
      <c r="D43" s="8"/>
      <c r="E43" s="8"/>
      <c r="F43" s="8"/>
      <c r="G43" s="91"/>
      <c r="H43" s="8"/>
      <c r="I43" s="8"/>
      <c r="J43" s="8"/>
      <c r="K43" s="8"/>
      <c r="L43" s="8"/>
      <c r="M43" s="8"/>
      <c r="N43" s="8"/>
      <c r="O43" s="8"/>
    </row>
    <row r="44" spans="1:15" x14ac:dyDescent="0.25"/>
  </sheetData>
  <sheetProtection sheet="1" objects="1" scenarios="1"/>
  <mergeCells count="16">
    <mergeCell ref="D36:L37"/>
    <mergeCell ref="D38:L39"/>
    <mergeCell ref="D4:E4"/>
    <mergeCell ref="D5:F5"/>
    <mergeCell ref="H4:L4"/>
    <mergeCell ref="H5:L5"/>
    <mergeCell ref="H6:L6"/>
    <mergeCell ref="H7:L7"/>
    <mergeCell ref="D25:I25"/>
    <mergeCell ref="D28:L29"/>
    <mergeCell ref="D34:L35"/>
    <mergeCell ref="D26:I26"/>
    <mergeCell ref="D27:I27"/>
    <mergeCell ref="H8:I8"/>
    <mergeCell ref="D20:L21"/>
    <mergeCell ref="D24:F24"/>
  </mergeCells>
  <dataValidations count="6">
    <dataValidation type="whole" operator="greaterThanOrEqual" allowBlank="1" showInputMessage="1" promptTitle="Årslønn" prompt="Skriv den ansattes årslønn (grunnlønn). Gjelder utregningen flere ansatte, oppgir du gjennomsnittet av årslønnene. _x000a__x000a_Selv om den ansatte jobber deltid, skal du oppgi årslønn for full stilling._x000a_" sqref="F14:F18" xr:uid="{D4C39920-057B-42B6-9959-107DC9529CA3}">
      <formula1>0</formula1>
    </dataValidation>
    <dataValidation type="decimal" errorStyle="information" operator="lessThanOrEqual" allowBlank="1" showInputMessage="1" showErrorMessage="1" errorTitle="Ugyldig verdig" error="fdfdfd" promptTitle="Arbeidsgiversandel av pensjon" prompt="Oppgi arbeidsgivers andel av pensjon._x000a__x000a_Viktig: dette skal ikke inkluderes i satsen: reguleringspremie, premiefond, utjevning, selvrisiko eller egenbetaling pensjon." sqref="H14:H15" xr:uid="{E86B135D-57AF-4798-8F3A-151BE593B282}">
      <formula1>$P$4</formula1>
    </dataValidation>
    <dataValidation type="decimal" errorStyle="information" operator="lessThanOrEqual" allowBlank="1" showInputMessage="1" showErrorMessage="1" errorTitle="Ugyldig verdig" error="fdfdfd" promptTitle="Arbeidsgiversandel av pensjon" prompt="_x000a_Oppgi arbeidsgivers andel av pensjon._x000a__x000a_Viktig: dette skal ikke inkluderes i satsen: reguleringspremie, premiefond, utjevning, selvrisiko eller egenbetaling pensjon." sqref="H16:H18" xr:uid="{7409DD1B-63F8-4377-875F-3475786D4266}">
      <formula1>$P$4</formula1>
    </dataValidation>
    <dataValidation type="whole" operator="greaterThanOrEqual" allowBlank="1" showInputMessage="1" showErrorMessage="1" errorTitle="Ugyldig verdi" error="Antall ansatte må kun være tall og minst 1. " promptTitle="Antall tolk" prompt="Oppgi hvor mange tolk denne beregningen gjelder for." sqref="E14:E18" xr:uid="{3EDA23EF-B8A2-46C6-A6C4-9520C736C968}">
      <formula1>1</formula1>
    </dataValidation>
    <dataValidation allowBlank="1" showInputMessage="1" showErrorMessage="1" promptTitle="Tiltak" prompt="Oppgi hvilket tiltak i søknaden tolken er brukt i, som «pedagogiske tiltak»._x000a__x000a_" sqref="D14:D18" xr:uid="{0DA18CF4-ED89-4D9D-B739-5322587480B9}"/>
    <dataValidation allowBlank="1" showInputMessage="1" showErrorMessage="1" promptTitle="Tiltak" prompt="Oppgi hvilket tiltak i søknaden tolken er brukt i, som «pedagogiske tiltak»." sqref="D25:I27" xr:uid="{FA0B5165-C2BB-40C6-8C12-C262197C22B2}"/>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 id="{B11D9EEB-85AA-4014-9484-C67A91A9509A}">
            <xm:f>H14&gt;'Lønn uten undervisningstid'!$P$4</xm:f>
            <x14:dxf>
              <font>
                <b/>
                <i val="0"/>
                <strike val="0"/>
                <color rgb="FF0070C0"/>
              </font>
            </x14:dxf>
          </x14:cfRule>
          <xm:sqref>H14:H18</xm:sqref>
        </x14:conditionalFormatting>
        <x14:conditionalFormatting xmlns:xm="http://schemas.microsoft.com/office/excel/2006/main">
          <x14:cfRule type="expression" priority="2" id="{0F0CF005-DC17-463D-99B5-79295875E643}">
            <xm:f>J14&gt;'Lønn uten undervisningstid'!$P$3</xm:f>
            <x14:dxf>
              <font>
                <b/>
                <i val="0"/>
                <strike val="0"/>
                <color rgb="FF0070C0"/>
              </font>
            </x14:dxf>
          </x14:cfRule>
          <xm:sqref>J14:J18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Ugyldig verdi" error="Velg riktig sats fra nedtrekksmenyen._x000a__x000a_Sone   Sats _x000a_I           14,1 %_x000a_II          10,6 %_x000a_III           6,4 %_x000a_IV           5,1 %_x000a_IVa         7,9 %_x000a_V            0,0 %_x000a_" promptTitle="Arbeidsgiveravgift" prompt="Oppgi satsen for arbeidsgiveravgift for din kommune. Arbeidsgiveravgiften er regionalt differensiert og fastsettes av Stortinget hvert år. _x000a__x000a_Klikk på linken til venstre for å finne riktig arbeidsgiveravgift for din kommune._x000a_" xr:uid="{13E9B2E2-FE97-4EA9-BF3B-92BBC55608C9}">
          <x14:formula1>
            <xm:f>Innstillinger!$B$48:$B$54</xm:f>
          </x14:formula1>
          <xm:sqref>I14:I15</xm:sqref>
        </x14:dataValidation>
        <x14:dataValidation type="list" allowBlank="1" showInputMessage="1" showErrorMessage="1" errorTitle="Ugyldig verdi" error="Feriepengersatsen må være 12% eller 14,2% av feriepengegrunnlaget. _x000a__x000a_Velg fra nedtrekksmenyen." promptTitle="Feriepenger" prompt="Velg &quot;12 %&quot; eller &quot;14,3 %&quot; - feriepengegrunnlag. _x000a__x000a_Det vanligste er 12 %. 14,3 % brukes for ansatte over 60 år. Denne gruppen har rett på av 14,3 % av feriepengegrunnlaget ved seks ukers ferie." xr:uid="{894347FC-D833-460A-A058-7BA7A582F2D0}">
          <x14:formula1>
            <xm:f>Innstillinger!$B$58:$B$60</xm:f>
          </x14:formula1>
          <xm:sqref>G14:G15</xm:sqref>
        </x14:dataValidation>
        <x14:dataValidation type="list" allowBlank="1" showInputMessage="1" showErrorMessage="1" errorTitle="Ugyldig verdi" error="Velg riktig sats fra nedtrekksmenyen._x000a__x000a_Sone   Sats _x000a_I           14,1 %_x000a_II          10,6 %_x000a_III           6,4 %_x000a_IV           5,1 %_x000a_IVa         7,9 %_x000a_V            0,0 %_x000a_" promptTitle="Arbeidsgiveravgift" prompt="_x000a_Oppgi satsen for arbeidsgiveravgift for din kommune. Arbeidsgiveravgiften er regionalt differensiert og fastsettes av Stortinget hvert år. _x000a__x000a_Klikk på linken til venstre for å finne riktig arbeidsgiveravgift for din kommune._x000a_" xr:uid="{61074F71-BEAD-4C20-A9F9-2A86653068BB}">
          <x14:formula1>
            <xm:f>Innstillinger!$B$48:$B$54</xm:f>
          </x14:formula1>
          <xm:sqref>I16:I18</xm:sqref>
        </x14:dataValidation>
        <x14:dataValidation type="list" allowBlank="1" showInputMessage="1" showErrorMessage="1" errorTitle="Ugyldig verdi" error="Feriepengersatsen må være 12% eller 14,2% av feriepengegrunnlaget. _x000a__x000a_Velg fra nedtrekksmenyen." promptTitle="Feriepenger" prompt="_x000a_Velg 12 eller 14,3 % av feriepengegrunnlaget. _x000a__x000a_Det vanligste er 12 %. 14,3 % brukes for ansatte over 60 år. Denne gruppen har rett på av 14,3 % av feriepengegrunnlaget ved seks ukers ferie." xr:uid="{9A97B5F5-2CFD-494B-85C4-713E9D6FD04D}">
          <x14:formula1>
            <xm:f>Innstillinger!$B$58:$B$60</xm:f>
          </x14:formula1>
          <xm:sqref>G16:G18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71240-D9C2-4C9A-811C-6DB75B25568A}">
  <sheetPr codeName="Ark7">
    <tabColor rgb="FFF2E7E7"/>
    <pageSetUpPr autoPageBreaks="0"/>
  </sheetPr>
  <dimension ref="A1:U29"/>
  <sheetViews>
    <sheetView showGridLines="0" zoomScaleNormal="100" workbookViewId="0">
      <pane ySplit="1" topLeftCell="A2" activePane="bottomLeft" state="frozen"/>
      <selection pane="bottomLeft"/>
    </sheetView>
  </sheetViews>
  <sheetFormatPr baseColWidth="10" defaultColWidth="0" defaultRowHeight="15" zeroHeight="1" x14ac:dyDescent="0.25"/>
  <cols>
    <col min="1" max="1" width="1.42578125" customWidth="1"/>
    <col min="2" max="2" width="6.5703125" customWidth="1"/>
    <col min="3" max="3" width="4.28515625" customWidth="1"/>
    <col min="4" max="5" width="15.85546875" customWidth="1"/>
    <col min="6" max="7" width="17.28515625" customWidth="1"/>
    <col min="8" max="8" width="14.140625" bestFit="1" customWidth="1"/>
    <col min="9" max="9" width="14.85546875" customWidth="1"/>
    <col min="10" max="10" width="16.42578125" customWidth="1"/>
    <col min="11" max="11" width="6.85546875" customWidth="1"/>
    <col min="12" max="12" width="4.28515625" customWidth="1"/>
    <col min="13" max="13" width="1.42578125" customWidth="1"/>
    <col min="14" max="18" width="11.42578125" hidden="1" customWidth="1"/>
    <col min="19" max="21" width="0" hidden="1" customWidth="1"/>
    <col min="22" max="16384" width="11.42578125" hidden="1"/>
  </cols>
  <sheetData>
    <row r="1" spans="1:13" s="212" customFormat="1" ht="46.5" customHeight="1" x14ac:dyDescent="0.5">
      <c r="A1" s="210"/>
      <c r="B1" s="210"/>
      <c r="C1" s="174" t="s">
        <v>152</v>
      </c>
      <c r="D1" s="174"/>
      <c r="E1" s="174"/>
      <c r="F1" s="174"/>
      <c r="G1" s="174"/>
      <c r="H1" s="174"/>
      <c r="I1" s="210"/>
      <c r="J1" s="210"/>
      <c r="K1" s="210"/>
      <c r="L1" s="210"/>
      <c r="M1" s="210"/>
    </row>
    <row r="2" spans="1:13" x14ac:dyDescent="0.25">
      <c r="A2" s="8"/>
      <c r="B2" s="9"/>
      <c r="C2" s="9"/>
      <c r="D2" s="9"/>
      <c r="E2" s="9"/>
      <c r="F2" s="9"/>
      <c r="G2" s="9"/>
      <c r="H2" s="9"/>
      <c r="I2" s="9"/>
      <c r="J2" s="9"/>
      <c r="K2" s="9"/>
      <c r="L2" s="9"/>
      <c r="M2" s="8"/>
    </row>
    <row r="3" spans="1:13" ht="24" x14ac:dyDescent="0.4">
      <c r="A3" s="8"/>
      <c r="B3" s="9"/>
      <c r="C3" s="80"/>
      <c r="D3" s="180" t="s">
        <v>54</v>
      </c>
      <c r="E3" s="79"/>
      <c r="F3" s="79"/>
      <c r="G3" s="79"/>
      <c r="H3" s="189" t="s">
        <v>55</v>
      </c>
      <c r="I3" s="79"/>
      <c r="J3" s="79"/>
      <c r="K3" s="79"/>
      <c r="L3" s="9"/>
      <c r="M3" s="8"/>
    </row>
    <row r="4" spans="1:13" ht="22.5" customHeight="1" x14ac:dyDescent="0.3">
      <c r="A4" s="8"/>
      <c r="B4" s="9"/>
      <c r="C4" s="244" t="s">
        <v>58</v>
      </c>
      <c r="D4" s="262" t="s">
        <v>222</v>
      </c>
      <c r="E4" s="262"/>
      <c r="F4" s="262"/>
      <c r="G4" s="248" t="s">
        <v>60</v>
      </c>
      <c r="H4" s="282" t="s">
        <v>154</v>
      </c>
      <c r="I4" s="282"/>
      <c r="J4" s="282"/>
      <c r="K4" s="79"/>
      <c r="L4" s="9"/>
      <c r="M4" s="8"/>
    </row>
    <row r="5" spans="1:13" ht="22.5" x14ac:dyDescent="0.3">
      <c r="A5" s="8"/>
      <c r="B5" s="9"/>
      <c r="C5" s="244"/>
      <c r="D5" s="262"/>
      <c r="E5" s="262"/>
      <c r="F5" s="262"/>
      <c r="G5" s="248"/>
      <c r="H5" s="282"/>
      <c r="I5" s="282"/>
      <c r="J5" s="282"/>
      <c r="K5" s="79"/>
      <c r="L5" s="9"/>
      <c r="M5" s="8"/>
    </row>
    <row r="6" spans="1:13" ht="22.5" customHeight="1" x14ac:dyDescent="0.3">
      <c r="A6" s="8"/>
      <c r="B6" s="9"/>
      <c r="C6" s="244"/>
      <c r="D6" s="262"/>
      <c r="E6" s="262"/>
      <c r="F6" s="262"/>
      <c r="G6" s="248" t="s">
        <v>60</v>
      </c>
      <c r="H6" s="283" t="s">
        <v>155</v>
      </c>
      <c r="I6" s="283"/>
      <c r="J6" s="283"/>
      <c r="K6" s="79"/>
      <c r="L6" s="9"/>
      <c r="M6" s="8"/>
    </row>
    <row r="7" spans="1:13" ht="22.5" x14ac:dyDescent="0.25">
      <c r="A7" s="8"/>
      <c r="B7" s="9"/>
      <c r="C7" s="244" t="s">
        <v>58</v>
      </c>
      <c r="D7" s="262" t="s">
        <v>153</v>
      </c>
      <c r="E7" s="262"/>
      <c r="F7" s="262"/>
      <c r="G7" s="79"/>
      <c r="H7" s="283"/>
      <c r="I7" s="283"/>
      <c r="J7" s="283"/>
      <c r="K7" s="79"/>
      <c r="L7" s="9"/>
      <c r="M7" s="8"/>
    </row>
    <row r="8" spans="1:13" ht="22.5" x14ac:dyDescent="0.25">
      <c r="A8" s="8"/>
      <c r="B8" s="9"/>
      <c r="C8" s="83"/>
      <c r="D8" s="262"/>
      <c r="E8" s="262"/>
      <c r="F8" s="262"/>
      <c r="G8" s="79"/>
      <c r="H8" s="79"/>
      <c r="I8" s="79"/>
      <c r="J8" s="79"/>
      <c r="K8" s="79"/>
      <c r="L8" s="9"/>
      <c r="M8" s="8"/>
    </row>
    <row r="9" spans="1:13" x14ac:dyDescent="0.25">
      <c r="A9" s="8"/>
      <c r="B9" s="9"/>
      <c r="C9" s="53"/>
      <c r="D9" s="53"/>
      <c r="E9" s="53"/>
      <c r="F9" s="53"/>
      <c r="G9" s="53"/>
      <c r="H9" s="53"/>
      <c r="I9" s="53"/>
      <c r="J9" s="9"/>
      <c r="K9" s="9"/>
      <c r="L9" s="9"/>
      <c r="M9" s="8"/>
    </row>
    <row r="10" spans="1:13" x14ac:dyDescent="0.25">
      <c r="A10" s="8"/>
      <c r="B10" s="9"/>
      <c r="C10" s="53"/>
      <c r="D10" s="53"/>
      <c r="E10" s="53"/>
      <c r="F10" s="53"/>
      <c r="G10" s="53"/>
      <c r="H10" s="53"/>
      <c r="I10" s="53"/>
      <c r="J10" s="9"/>
      <c r="K10" s="9"/>
      <c r="L10" s="9"/>
      <c r="M10" s="8"/>
    </row>
    <row r="11" spans="1:13" x14ac:dyDescent="0.25">
      <c r="A11" s="8"/>
      <c r="B11" s="9"/>
      <c r="C11" s="1"/>
      <c r="D11" s="22"/>
      <c r="E11" s="22"/>
      <c r="F11" s="22"/>
      <c r="G11" s="22"/>
      <c r="H11" s="22"/>
      <c r="I11" s="1"/>
      <c r="L11" s="9"/>
      <c r="M11" s="8"/>
    </row>
    <row r="12" spans="1:13" ht="24" x14ac:dyDescent="0.4">
      <c r="A12" s="8"/>
      <c r="B12" s="9"/>
      <c r="C12" s="1"/>
      <c r="D12" s="2" t="s">
        <v>156</v>
      </c>
      <c r="E12" s="2"/>
      <c r="F12" s="2"/>
      <c r="G12" s="2"/>
      <c r="H12" s="2"/>
      <c r="I12" s="1"/>
      <c r="L12" s="9"/>
      <c r="M12" s="8"/>
    </row>
    <row r="13" spans="1:13" x14ac:dyDescent="0.25">
      <c r="A13" s="8"/>
      <c r="B13" s="9"/>
      <c r="C13" s="1"/>
      <c r="D13" s="22"/>
      <c r="E13" s="22"/>
      <c r="F13" s="22"/>
      <c r="G13" s="22"/>
      <c r="H13" s="22"/>
      <c r="L13" s="9"/>
      <c r="M13" s="8"/>
    </row>
    <row r="14" spans="1:13" ht="30" x14ac:dyDescent="0.25">
      <c r="A14" s="8"/>
      <c r="B14" s="9"/>
      <c r="C14" s="1"/>
      <c r="D14" s="61" t="s">
        <v>157</v>
      </c>
      <c r="E14" s="61" t="s">
        <v>158</v>
      </c>
      <c r="F14" s="281" t="s">
        <v>159</v>
      </c>
      <c r="G14" s="281"/>
      <c r="H14" s="23" t="s">
        <v>160</v>
      </c>
      <c r="I14" s="6" t="s">
        <v>161</v>
      </c>
      <c r="J14" s="23" t="s">
        <v>145</v>
      </c>
      <c r="K14" s="23"/>
      <c r="L14" s="9"/>
      <c r="M14" s="8"/>
    </row>
    <row r="15" spans="1:13" ht="15.75" thickBot="1" x14ac:dyDescent="0.3">
      <c r="A15" s="8"/>
      <c r="B15" s="9"/>
      <c r="C15" s="1"/>
      <c r="D15" s="62"/>
      <c r="E15" s="62"/>
      <c r="F15" s="286"/>
      <c r="G15" s="287"/>
      <c r="H15" s="70"/>
      <c r="I15" s="21"/>
      <c r="J15" s="73">
        <f>H15*I15</f>
        <v>0</v>
      </c>
      <c r="L15" s="9"/>
      <c r="M15" s="8"/>
    </row>
    <row r="16" spans="1:13" ht="16.5" thickTop="1" thickBot="1" x14ac:dyDescent="0.3">
      <c r="A16" s="8"/>
      <c r="B16" s="9"/>
      <c r="C16" s="1"/>
      <c r="D16" s="63"/>
      <c r="E16" s="63"/>
      <c r="F16" s="286"/>
      <c r="G16" s="287"/>
      <c r="H16" s="71"/>
      <c r="I16" s="19"/>
      <c r="J16" s="74">
        <f t="shared" ref="J16:J22" si="0">H16*I16</f>
        <v>0</v>
      </c>
      <c r="L16" s="9"/>
      <c r="M16" s="8"/>
    </row>
    <row r="17" spans="1:13" ht="16.5" thickTop="1" thickBot="1" x14ac:dyDescent="0.3">
      <c r="A17" s="8"/>
      <c r="B17" s="9"/>
      <c r="C17" s="1"/>
      <c r="D17" s="63"/>
      <c r="E17" s="63"/>
      <c r="F17" s="286"/>
      <c r="G17" s="287"/>
      <c r="H17" s="71"/>
      <c r="I17" s="19"/>
      <c r="J17" s="74">
        <f t="shared" si="0"/>
        <v>0</v>
      </c>
      <c r="L17" s="9"/>
      <c r="M17" s="8"/>
    </row>
    <row r="18" spans="1:13" ht="16.5" thickTop="1" thickBot="1" x14ac:dyDescent="0.3">
      <c r="A18" s="8"/>
      <c r="B18" s="9"/>
      <c r="C18" s="1"/>
      <c r="D18" s="63"/>
      <c r="E18" s="63"/>
      <c r="F18" s="286"/>
      <c r="G18" s="287"/>
      <c r="H18" s="71"/>
      <c r="I18" s="19"/>
      <c r="J18" s="74">
        <f t="shared" si="0"/>
        <v>0</v>
      </c>
      <c r="L18" s="9"/>
      <c r="M18" s="8"/>
    </row>
    <row r="19" spans="1:13" ht="16.5" thickTop="1" thickBot="1" x14ac:dyDescent="0.3">
      <c r="A19" s="8"/>
      <c r="B19" s="9"/>
      <c r="C19" s="1"/>
      <c r="D19" s="63"/>
      <c r="E19" s="63"/>
      <c r="F19" s="286"/>
      <c r="G19" s="287"/>
      <c r="H19" s="71"/>
      <c r="I19" s="19"/>
      <c r="J19" s="74">
        <f t="shared" si="0"/>
        <v>0</v>
      </c>
      <c r="L19" s="9"/>
      <c r="M19" s="8"/>
    </row>
    <row r="20" spans="1:13" ht="16.5" thickTop="1" thickBot="1" x14ac:dyDescent="0.3">
      <c r="A20" s="8"/>
      <c r="B20" s="9"/>
      <c r="C20" s="1"/>
      <c r="D20" s="63"/>
      <c r="E20" s="63"/>
      <c r="F20" s="286"/>
      <c r="G20" s="287"/>
      <c r="H20" s="71"/>
      <c r="I20" s="19"/>
      <c r="J20" s="74">
        <f t="shared" si="0"/>
        <v>0</v>
      </c>
      <c r="L20" s="9"/>
      <c r="M20" s="8"/>
    </row>
    <row r="21" spans="1:13" ht="16.5" thickTop="1" thickBot="1" x14ac:dyDescent="0.3">
      <c r="A21" s="8"/>
      <c r="B21" s="9"/>
      <c r="C21" s="1"/>
      <c r="D21" s="63"/>
      <c r="E21" s="63"/>
      <c r="F21" s="286"/>
      <c r="G21" s="287"/>
      <c r="H21" s="71"/>
      <c r="I21" s="19"/>
      <c r="J21" s="74">
        <f t="shared" si="0"/>
        <v>0</v>
      </c>
      <c r="L21" s="9"/>
      <c r="M21" s="8"/>
    </row>
    <row r="22" spans="1:13" ht="16.5" thickTop="1" thickBot="1" x14ac:dyDescent="0.3">
      <c r="A22" s="8"/>
      <c r="B22" s="9"/>
      <c r="C22" s="1"/>
      <c r="D22" s="63"/>
      <c r="E22" s="63"/>
      <c r="F22" s="286"/>
      <c r="G22" s="287"/>
      <c r="H22" s="72"/>
      <c r="I22" s="20"/>
      <c r="J22" s="75">
        <f t="shared" si="0"/>
        <v>0</v>
      </c>
      <c r="L22" s="9"/>
      <c r="M22" s="8"/>
    </row>
    <row r="23" spans="1:13" ht="15.75" thickTop="1" x14ac:dyDescent="0.25">
      <c r="A23" s="8"/>
      <c r="B23" s="9"/>
      <c r="C23" s="1"/>
      <c r="D23" s="22"/>
      <c r="E23" s="22"/>
      <c r="F23" s="22"/>
      <c r="G23" s="22"/>
      <c r="L23" s="9"/>
      <c r="M23" s="8"/>
    </row>
    <row r="24" spans="1:13" ht="18.75" x14ac:dyDescent="0.25">
      <c r="A24" s="8"/>
      <c r="B24" s="10"/>
      <c r="C24" s="22"/>
      <c r="D24" s="22"/>
      <c r="E24" s="22"/>
      <c r="F24" s="22"/>
      <c r="G24" s="22"/>
      <c r="H24" s="284" t="s">
        <v>92</v>
      </c>
      <c r="I24" s="285"/>
      <c r="J24" s="13">
        <f>SUM(J15:J22)</f>
        <v>0</v>
      </c>
      <c r="L24" s="9"/>
      <c r="M24" s="8"/>
    </row>
    <row r="25" spans="1:13" x14ac:dyDescent="0.25">
      <c r="A25" s="8"/>
      <c r="B25" s="9"/>
      <c r="C25" s="22"/>
      <c r="D25" s="22"/>
      <c r="E25" s="22"/>
      <c r="F25" s="22"/>
      <c r="G25" s="22"/>
      <c r="H25" s="22"/>
      <c r="L25" s="9"/>
      <c r="M25" s="8"/>
    </row>
    <row r="26" spans="1:13" x14ac:dyDescent="0.25">
      <c r="A26" s="8"/>
      <c r="B26" s="9"/>
      <c r="C26" s="9"/>
      <c r="D26" s="9"/>
      <c r="E26" s="9"/>
      <c r="F26" s="9"/>
      <c r="G26" s="9"/>
      <c r="H26" s="9"/>
      <c r="I26" s="9"/>
      <c r="J26" s="9"/>
      <c r="K26" s="9"/>
      <c r="L26" s="9"/>
      <c r="M26" s="8"/>
    </row>
    <row r="27" spans="1:13" x14ac:dyDescent="0.25">
      <c r="A27" s="8"/>
      <c r="B27" s="9"/>
      <c r="C27" s="9"/>
      <c r="D27" s="9"/>
      <c r="E27" s="9"/>
      <c r="F27" s="9"/>
      <c r="G27" s="9"/>
      <c r="H27" s="9"/>
      <c r="I27" s="9"/>
      <c r="J27" s="9"/>
      <c r="K27" s="9"/>
      <c r="L27" s="9"/>
      <c r="M27" s="8"/>
    </row>
    <row r="28" spans="1:13" ht="6" customHeight="1" x14ac:dyDescent="0.25">
      <c r="A28" s="8"/>
      <c r="B28" s="8"/>
      <c r="C28" s="8"/>
      <c r="D28" s="8"/>
      <c r="E28" s="8"/>
      <c r="F28" s="8"/>
      <c r="G28" s="8"/>
      <c r="H28" s="8"/>
      <c r="I28" s="8"/>
      <c r="J28" s="8"/>
      <c r="K28" s="8"/>
      <c r="L28" s="8"/>
      <c r="M28" s="8"/>
    </row>
    <row r="29" spans="1:13" hidden="1" x14ac:dyDescent="0.25">
      <c r="A29" s="8"/>
    </row>
  </sheetData>
  <sheetProtection sheet="1" objects="1" scenarios="1"/>
  <mergeCells count="14">
    <mergeCell ref="H24:I24"/>
    <mergeCell ref="F15:G15"/>
    <mergeCell ref="F16:G16"/>
    <mergeCell ref="F17:G17"/>
    <mergeCell ref="F18:G18"/>
    <mergeCell ref="F19:G19"/>
    <mergeCell ref="F20:G20"/>
    <mergeCell ref="F21:G21"/>
    <mergeCell ref="F22:G22"/>
    <mergeCell ref="F14:G14"/>
    <mergeCell ref="D4:F6"/>
    <mergeCell ref="D7:F8"/>
    <mergeCell ref="H4:J5"/>
    <mergeCell ref="H6:J7"/>
  </mergeCells>
  <dataValidations disablePrompts="1" count="1">
    <dataValidation type="list" allowBlank="1" showInputMessage="1" showErrorMessage="1" sqref="F15:F22" xr:uid="{ECB5CC07-E10C-46A3-A3FC-6DC3C9D822E8}">
      <formula1>"Velg fra liste...,Taxi,Buss,Annet"</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F986-229D-41D8-A6A6-D16540DAA00B}">
  <sheetPr codeName="Ark8">
    <tabColor rgb="FFF15540"/>
    <pageSetUpPr autoPageBreaks="0"/>
  </sheetPr>
  <dimension ref="A1:M62"/>
  <sheetViews>
    <sheetView topLeftCell="A20" zoomScaleNormal="100" workbookViewId="0">
      <selection activeCell="A23" sqref="A23:XFD26"/>
    </sheetView>
  </sheetViews>
  <sheetFormatPr baseColWidth="10" defaultColWidth="0" defaultRowHeight="15" x14ac:dyDescent="0.25"/>
  <cols>
    <col min="1" max="1" width="4.28515625" customWidth="1"/>
    <col min="2" max="2" width="19.5703125" customWidth="1"/>
    <col min="3" max="3" width="14.5703125" customWidth="1"/>
    <col min="4" max="4" width="16.140625" bestFit="1" customWidth="1"/>
    <col min="5" max="5" width="14.5703125" customWidth="1"/>
    <col min="6" max="6" width="36.42578125" customWidth="1"/>
    <col min="7" max="7" width="7.140625" customWidth="1"/>
    <col min="8" max="8" width="45.7109375" bestFit="1" customWidth="1"/>
    <col min="9" max="9" width="3.7109375" customWidth="1"/>
    <col min="10" max="11" width="11.42578125" customWidth="1"/>
    <col min="12" max="12" width="23.140625" bestFit="1" customWidth="1"/>
    <col min="13" max="13" width="4.28515625" customWidth="1"/>
    <col min="14" max="16384" width="11.42578125" hidden="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ht="36" x14ac:dyDescent="0.25">
      <c r="A4" s="7"/>
      <c r="B4" s="24" t="s">
        <v>162</v>
      </c>
      <c r="C4" s="24"/>
      <c r="D4" s="24"/>
      <c r="E4" s="24"/>
      <c r="F4" s="7"/>
      <c r="G4" s="7"/>
      <c r="H4" s="7"/>
      <c r="I4" s="7"/>
      <c r="J4" s="7"/>
      <c r="K4" s="7"/>
      <c r="L4" s="7"/>
      <c r="M4" s="7"/>
    </row>
    <row r="5" spans="1:13" x14ac:dyDescent="0.25">
      <c r="A5" s="9"/>
      <c r="B5" s="9"/>
      <c r="C5" s="9"/>
      <c r="D5" s="9"/>
      <c r="E5" s="9"/>
      <c r="F5" s="9"/>
      <c r="G5" s="9"/>
      <c r="H5" s="9"/>
      <c r="I5" s="9"/>
      <c r="J5" s="9"/>
      <c r="K5" s="9"/>
      <c r="L5" s="9"/>
      <c r="M5" s="9"/>
    </row>
    <row r="6" spans="1:13" x14ac:dyDescent="0.25">
      <c r="A6" s="9"/>
      <c r="B6" s="9"/>
      <c r="C6" s="9"/>
      <c r="D6" s="9"/>
      <c r="E6" s="9"/>
      <c r="F6" s="9"/>
      <c r="G6" s="9"/>
      <c r="H6" s="9"/>
      <c r="I6" s="9"/>
      <c r="J6" s="9"/>
      <c r="K6" s="9"/>
      <c r="L6" s="9"/>
      <c r="M6" s="9"/>
    </row>
    <row r="7" spans="1:13" x14ac:dyDescent="0.25">
      <c r="A7" s="9"/>
      <c r="B7" s="25" t="s">
        <v>101</v>
      </c>
      <c r="C7" s="25"/>
      <c r="D7" s="9"/>
      <c r="E7" s="9"/>
      <c r="F7" s="9"/>
      <c r="G7" s="9"/>
      <c r="H7" s="9"/>
      <c r="I7" s="9"/>
      <c r="J7" s="9"/>
      <c r="K7" s="9"/>
      <c r="L7" s="9"/>
      <c r="M7" s="9"/>
    </row>
    <row r="8" spans="1:13" x14ac:dyDescent="0.25">
      <c r="A8" s="9"/>
      <c r="B8" s="32" t="s">
        <v>163</v>
      </c>
      <c r="C8" s="52"/>
      <c r="D8" s="38"/>
      <c r="E8" s="38"/>
      <c r="F8" s="9"/>
      <c r="G8" s="9"/>
      <c r="H8" s="9"/>
      <c r="I8" s="9"/>
      <c r="J8" s="9"/>
      <c r="K8" s="9"/>
      <c r="L8" s="9"/>
      <c r="M8" s="9"/>
    </row>
    <row r="9" spans="1:13" x14ac:dyDescent="0.25">
      <c r="A9" s="9"/>
      <c r="B9" s="32" t="s">
        <v>102</v>
      </c>
      <c r="C9" s="52"/>
      <c r="D9" s="38"/>
      <c r="E9" s="38"/>
      <c r="F9" s="9"/>
      <c r="G9" s="9"/>
      <c r="H9" s="9"/>
      <c r="I9" s="9"/>
      <c r="J9" s="9"/>
      <c r="K9" s="9"/>
      <c r="L9" s="9"/>
      <c r="M9" s="9"/>
    </row>
    <row r="10" spans="1:13" x14ac:dyDescent="0.25">
      <c r="A10" s="9"/>
      <c r="B10" s="32" t="s">
        <v>164</v>
      </c>
      <c r="C10" s="52"/>
      <c r="D10" s="38"/>
      <c r="E10" s="38"/>
      <c r="F10" s="9"/>
      <c r="G10" s="9"/>
      <c r="H10" s="9"/>
      <c r="I10" s="9"/>
      <c r="J10" s="9"/>
      <c r="K10" s="9"/>
      <c r="L10" s="9"/>
      <c r="M10" s="9"/>
    </row>
    <row r="11" spans="1:13" x14ac:dyDescent="0.25">
      <c r="A11" s="9"/>
      <c r="B11" s="9"/>
      <c r="C11" s="9"/>
      <c r="D11" s="9"/>
      <c r="E11" s="9"/>
      <c r="F11" s="9"/>
      <c r="G11" s="9"/>
      <c r="H11" s="9"/>
      <c r="I11" s="9"/>
      <c r="J11" s="9"/>
      <c r="K11" s="9"/>
      <c r="L11" s="9"/>
      <c r="M11" s="9"/>
    </row>
    <row r="12" spans="1:13" x14ac:dyDescent="0.25">
      <c r="A12" s="9"/>
      <c r="B12" s="9"/>
      <c r="C12" s="9"/>
      <c r="D12" s="9"/>
      <c r="E12" s="9"/>
      <c r="F12" s="9"/>
      <c r="G12" s="9"/>
      <c r="H12" s="9"/>
      <c r="I12" s="9"/>
      <c r="J12" s="9"/>
      <c r="K12" s="9"/>
      <c r="L12" s="9"/>
      <c r="M12" s="9"/>
    </row>
    <row r="13" spans="1:13" x14ac:dyDescent="0.25">
      <c r="A13" s="9"/>
      <c r="B13" s="25" t="s">
        <v>50</v>
      </c>
      <c r="C13" s="25"/>
      <c r="D13" s="9"/>
      <c r="E13" s="9"/>
      <c r="F13" s="9"/>
      <c r="G13" s="9"/>
      <c r="H13" s="9"/>
      <c r="I13" s="9"/>
      <c r="J13" s="9"/>
      <c r="K13" s="9"/>
      <c r="L13" s="9"/>
      <c r="M13" s="9"/>
    </row>
    <row r="14" spans="1:13" x14ac:dyDescent="0.25">
      <c r="A14" s="9"/>
      <c r="B14" s="32" t="s">
        <v>163</v>
      </c>
      <c r="C14" s="52"/>
      <c r="D14" s="9"/>
      <c r="E14" s="9"/>
      <c r="F14" s="9"/>
      <c r="G14" s="9"/>
      <c r="H14" s="9"/>
      <c r="I14" s="9"/>
      <c r="J14" s="9"/>
      <c r="K14" s="9"/>
      <c r="L14" s="9"/>
      <c r="M14" s="9"/>
    </row>
    <row r="15" spans="1:13" x14ac:dyDescent="0.25">
      <c r="A15" s="9"/>
      <c r="B15" s="32" t="s">
        <v>165</v>
      </c>
      <c r="C15" s="52">
        <v>741</v>
      </c>
      <c r="D15" s="9"/>
      <c r="E15" s="9"/>
      <c r="F15" s="9"/>
      <c r="G15" s="9"/>
      <c r="H15" s="9"/>
      <c r="I15" s="9"/>
      <c r="J15" s="9"/>
      <c r="K15" s="9"/>
      <c r="L15" s="9"/>
      <c r="M15" s="9"/>
    </row>
    <row r="16" spans="1:13" x14ac:dyDescent="0.25">
      <c r="A16" s="9"/>
      <c r="B16" s="32" t="s">
        <v>166</v>
      </c>
      <c r="C16" s="52">
        <v>606</v>
      </c>
      <c r="D16" s="9"/>
      <c r="E16" s="9"/>
      <c r="F16" s="9"/>
      <c r="G16" s="9"/>
      <c r="H16" s="9"/>
      <c r="I16" s="9"/>
      <c r="J16" s="9"/>
      <c r="K16" s="9"/>
      <c r="L16" s="9"/>
      <c r="M16" s="9"/>
    </row>
    <row r="17" spans="1:13" x14ac:dyDescent="0.25">
      <c r="A17" s="9"/>
      <c r="B17" s="32" t="s">
        <v>167</v>
      </c>
      <c r="C17" s="52">
        <v>635</v>
      </c>
      <c r="D17" s="9"/>
      <c r="E17" s="9"/>
      <c r="F17" s="9"/>
      <c r="G17" s="9"/>
      <c r="H17" s="9"/>
      <c r="I17" s="9"/>
      <c r="J17" s="9"/>
      <c r="K17" s="9"/>
      <c r="L17" s="9"/>
      <c r="M17" s="9"/>
    </row>
    <row r="18" spans="1:13" x14ac:dyDescent="0.25">
      <c r="A18" s="9"/>
      <c r="B18" s="32" t="s">
        <v>168</v>
      </c>
      <c r="C18" s="52">
        <v>664</v>
      </c>
      <c r="D18" s="9"/>
      <c r="E18" s="9"/>
      <c r="F18" s="9"/>
      <c r="G18" s="9"/>
      <c r="H18" s="9"/>
      <c r="I18" s="9"/>
      <c r="J18" s="9"/>
      <c r="K18" s="9"/>
      <c r="L18" s="9"/>
      <c r="M18" s="9"/>
    </row>
    <row r="19" spans="1:13" x14ac:dyDescent="0.25">
      <c r="A19" s="9"/>
      <c r="B19" s="32" t="s">
        <v>105</v>
      </c>
      <c r="C19" s="88">
        <f>'Lønn med undervisningstid'!E20</f>
        <v>0</v>
      </c>
      <c r="D19" s="9"/>
      <c r="E19" s="9"/>
      <c r="F19" s="9"/>
      <c r="G19" s="9"/>
      <c r="H19" s="9"/>
      <c r="I19" s="9"/>
      <c r="J19" s="9"/>
      <c r="K19" s="9"/>
      <c r="L19" s="9"/>
      <c r="M19" s="9"/>
    </row>
    <row r="20" spans="1:13" x14ac:dyDescent="0.25">
      <c r="A20" s="9"/>
      <c r="B20" s="9"/>
      <c r="C20" s="9"/>
      <c r="D20" s="9"/>
      <c r="E20" s="9"/>
      <c r="F20" s="9"/>
      <c r="G20" s="9"/>
      <c r="H20" s="9"/>
      <c r="I20" s="9"/>
      <c r="J20" s="9"/>
      <c r="K20" s="9"/>
      <c r="L20" s="9"/>
      <c r="M20" s="9"/>
    </row>
    <row r="21" spans="1:13" x14ac:dyDescent="0.25">
      <c r="A21" s="9"/>
      <c r="B21" s="9"/>
      <c r="C21" s="9"/>
      <c r="D21" s="9"/>
      <c r="E21" s="9"/>
      <c r="F21" s="9"/>
      <c r="G21" s="9"/>
      <c r="H21" s="9"/>
      <c r="I21" s="9"/>
      <c r="J21" s="9"/>
      <c r="K21" s="9"/>
      <c r="L21" s="9"/>
      <c r="M21" s="9"/>
    </row>
    <row r="22" spans="1:13" ht="15" customHeight="1" x14ac:dyDescent="0.25">
      <c r="A22" s="9"/>
      <c r="B22" s="25" t="s">
        <v>169</v>
      </c>
      <c r="C22" s="41" t="s">
        <v>170</v>
      </c>
      <c r="D22" s="41" t="s">
        <v>171</v>
      </c>
      <c r="E22" s="26" t="s">
        <v>172</v>
      </c>
      <c r="F22" s="27"/>
      <c r="G22" s="27"/>
      <c r="H22" s="27"/>
      <c r="I22" s="27"/>
      <c r="J22" s="27"/>
      <c r="K22" s="27"/>
      <c r="L22" s="9"/>
      <c r="M22" s="9"/>
    </row>
    <row r="23" spans="1:13" x14ac:dyDescent="0.25">
      <c r="A23" s="9"/>
      <c r="B23" s="31">
        <v>2022</v>
      </c>
      <c r="C23" s="33">
        <v>170000</v>
      </c>
      <c r="D23" s="39">
        <v>85000</v>
      </c>
      <c r="E23" s="39">
        <v>37100</v>
      </c>
      <c r="F23" s="28" t="s">
        <v>173</v>
      </c>
      <c r="G23" s="29"/>
      <c r="H23" s="29"/>
      <c r="I23" s="29"/>
      <c r="J23" s="29"/>
      <c r="K23" s="30"/>
      <c r="L23" s="9" t="s">
        <v>174</v>
      </c>
      <c r="M23" s="9"/>
    </row>
    <row r="24" spans="1:13" x14ac:dyDescent="0.25">
      <c r="A24" s="9"/>
      <c r="B24" s="31">
        <v>2023</v>
      </c>
      <c r="C24" s="33">
        <v>175000</v>
      </c>
      <c r="D24" s="39">
        <v>87500</v>
      </c>
      <c r="E24" s="39">
        <v>38100</v>
      </c>
      <c r="F24" s="28" t="s">
        <v>175</v>
      </c>
      <c r="G24" s="29"/>
      <c r="H24" s="29"/>
      <c r="I24" s="29"/>
      <c r="J24" s="29"/>
      <c r="K24" s="30"/>
      <c r="L24" s="9" t="s">
        <v>174</v>
      </c>
      <c r="M24" s="9"/>
    </row>
    <row r="25" spans="1:13" x14ac:dyDescent="0.25">
      <c r="A25" s="9"/>
      <c r="B25" s="31">
        <v>2024</v>
      </c>
      <c r="C25" s="33">
        <v>182700</v>
      </c>
      <c r="D25" s="39">
        <v>91350</v>
      </c>
      <c r="E25" s="39">
        <v>39780</v>
      </c>
      <c r="F25" s="28" t="s">
        <v>176</v>
      </c>
      <c r="G25" s="29"/>
      <c r="H25" s="29"/>
      <c r="I25" s="29"/>
      <c r="J25" s="29"/>
      <c r="K25" s="30"/>
      <c r="L25" s="9" t="s">
        <v>174</v>
      </c>
      <c r="M25" s="9"/>
    </row>
    <row r="26" spans="1:13" x14ac:dyDescent="0.25">
      <c r="A26" s="9"/>
      <c r="B26" s="31">
        <v>2025</v>
      </c>
      <c r="C26" s="33">
        <v>190190</v>
      </c>
      <c r="D26" s="39">
        <v>95095</v>
      </c>
      <c r="E26" s="39">
        <v>41410</v>
      </c>
      <c r="F26" s="28" t="s">
        <v>177</v>
      </c>
      <c r="G26" s="29"/>
      <c r="H26" s="29"/>
      <c r="I26" s="29"/>
      <c r="J26" s="29"/>
      <c r="K26" s="30"/>
      <c r="L26" s="9" t="s">
        <v>174</v>
      </c>
      <c r="M26" s="9"/>
    </row>
    <row r="27" spans="1:13" x14ac:dyDescent="0.25">
      <c r="A27" s="9"/>
      <c r="B27" s="31">
        <v>2026</v>
      </c>
      <c r="C27" s="33">
        <f>C26</f>
        <v>190190</v>
      </c>
      <c r="D27" s="33">
        <f t="shared" ref="D27:D28" si="0">D26</f>
        <v>95095</v>
      </c>
      <c r="E27" s="33">
        <f t="shared" ref="E27:E28" si="1">E26</f>
        <v>41410</v>
      </c>
      <c r="F27" s="111" t="s">
        <v>178</v>
      </c>
      <c r="G27" s="29"/>
      <c r="H27" s="29"/>
      <c r="I27" s="29"/>
      <c r="J27" s="29"/>
      <c r="K27" s="30"/>
      <c r="L27" s="109" t="s">
        <v>179</v>
      </c>
      <c r="M27" s="9"/>
    </row>
    <row r="28" spans="1:13" x14ac:dyDescent="0.25">
      <c r="A28" s="9"/>
      <c r="B28" s="31">
        <v>2027</v>
      </c>
      <c r="C28" s="33">
        <f>C27</f>
        <v>190190</v>
      </c>
      <c r="D28" s="33">
        <f t="shared" si="0"/>
        <v>95095</v>
      </c>
      <c r="E28" s="33">
        <f t="shared" si="1"/>
        <v>41410</v>
      </c>
      <c r="F28" s="111" t="s">
        <v>178</v>
      </c>
      <c r="G28" s="29"/>
      <c r="H28" s="29"/>
      <c r="I28" s="29"/>
      <c r="J28" s="29"/>
      <c r="K28" s="30"/>
      <c r="L28" s="109" t="s">
        <v>179</v>
      </c>
      <c r="M28" s="9"/>
    </row>
    <row r="29" spans="1:13" x14ac:dyDescent="0.25">
      <c r="A29" s="9"/>
      <c r="B29" s="9"/>
      <c r="C29" s="9"/>
      <c r="D29" s="9"/>
      <c r="E29" s="9"/>
      <c r="F29" s="9"/>
      <c r="G29" s="9"/>
      <c r="H29" s="9"/>
      <c r="I29" s="9"/>
      <c r="J29" s="9"/>
      <c r="K29" s="9"/>
      <c r="L29" s="9"/>
      <c r="M29" s="9"/>
    </row>
    <row r="30" spans="1:13" x14ac:dyDescent="0.25">
      <c r="A30" s="10"/>
      <c r="B30" s="25" t="s">
        <v>180</v>
      </c>
      <c r="C30" s="27"/>
      <c r="D30" s="27"/>
      <c r="E30" s="27"/>
      <c r="F30" s="27"/>
      <c r="G30" s="27"/>
      <c r="H30" s="27"/>
      <c r="I30" s="27"/>
      <c r="J30" s="27"/>
      <c r="K30" s="27"/>
      <c r="L30" s="9"/>
      <c r="M30" s="10"/>
    </row>
    <row r="31" spans="1:13" x14ac:dyDescent="0.25">
      <c r="A31" s="9"/>
      <c r="B31" s="31">
        <v>2022</v>
      </c>
      <c r="C31" s="33">
        <v>9383</v>
      </c>
      <c r="D31" s="39"/>
      <c r="E31" s="39"/>
      <c r="F31" s="28" t="s">
        <v>181</v>
      </c>
      <c r="G31" s="29"/>
      <c r="H31" s="29"/>
      <c r="I31" s="29"/>
      <c r="J31" s="29"/>
      <c r="K31" s="30"/>
      <c r="L31" s="9" t="s">
        <v>174</v>
      </c>
      <c r="M31" s="9"/>
    </row>
    <row r="32" spans="1:13" x14ac:dyDescent="0.25">
      <c r="A32" s="9"/>
      <c r="B32" s="31">
        <v>2023</v>
      </c>
      <c r="C32" s="33">
        <v>9885</v>
      </c>
      <c r="D32" s="39"/>
      <c r="E32" s="39"/>
      <c r="F32" s="28" t="s">
        <v>182</v>
      </c>
      <c r="G32" s="29"/>
      <c r="H32" s="29"/>
      <c r="I32" s="29"/>
      <c r="J32" s="29"/>
      <c r="K32" s="30"/>
      <c r="L32" s="9" t="s">
        <v>174</v>
      </c>
      <c r="M32" s="9"/>
    </row>
    <row r="33" spans="1:13" x14ac:dyDescent="0.25">
      <c r="A33" s="9"/>
      <c r="B33" s="31">
        <v>2024</v>
      </c>
      <c r="C33" s="33">
        <v>10336</v>
      </c>
      <c r="D33" s="39"/>
      <c r="E33" s="39"/>
      <c r="F33" s="28" t="s">
        <v>183</v>
      </c>
      <c r="G33" s="29"/>
      <c r="H33" s="29"/>
      <c r="I33" s="29"/>
      <c r="J33" s="29"/>
      <c r="K33" s="30"/>
      <c r="L33" s="9" t="s">
        <v>174</v>
      </c>
      <c r="M33" s="9"/>
    </row>
    <row r="34" spans="1:13" x14ac:dyDescent="0.25">
      <c r="A34" s="9"/>
      <c r="B34" s="31">
        <v>2025</v>
      </c>
      <c r="C34" s="33">
        <v>10847</v>
      </c>
      <c r="D34" s="39"/>
      <c r="E34" s="39"/>
      <c r="F34" s="28" t="s">
        <v>184</v>
      </c>
      <c r="G34" s="29"/>
      <c r="H34" s="29"/>
      <c r="I34" s="29"/>
      <c r="J34" s="29"/>
      <c r="K34" s="30"/>
      <c r="L34" s="109" t="s">
        <v>185</v>
      </c>
      <c r="M34" s="9"/>
    </row>
    <row r="35" spans="1:13" x14ac:dyDescent="0.25">
      <c r="A35" s="9"/>
      <c r="B35" s="31">
        <v>2026</v>
      </c>
      <c r="C35" s="33">
        <f>C34</f>
        <v>10847</v>
      </c>
      <c r="D35" s="39"/>
      <c r="E35" s="39"/>
      <c r="F35" s="111" t="s">
        <v>178</v>
      </c>
      <c r="G35" s="29"/>
      <c r="H35" s="29"/>
      <c r="I35" s="29"/>
      <c r="J35" s="29"/>
      <c r="K35" s="30"/>
      <c r="L35" s="109" t="s">
        <v>185</v>
      </c>
      <c r="M35" s="9"/>
    </row>
    <row r="36" spans="1:13" x14ac:dyDescent="0.25">
      <c r="A36" s="9"/>
      <c r="B36" s="31">
        <v>2027</v>
      </c>
      <c r="C36" s="33">
        <f>C35</f>
        <v>10847</v>
      </c>
      <c r="D36" s="40"/>
      <c r="E36" s="40"/>
      <c r="F36" s="111" t="s">
        <v>178</v>
      </c>
      <c r="G36" s="29"/>
      <c r="H36" s="29"/>
      <c r="I36" s="29"/>
      <c r="J36" s="29"/>
      <c r="K36" s="30"/>
      <c r="L36" s="109" t="s">
        <v>185</v>
      </c>
      <c r="M36" s="9"/>
    </row>
    <row r="37" spans="1:13" x14ac:dyDescent="0.25">
      <c r="A37" s="9"/>
      <c r="B37" s="9"/>
      <c r="C37" s="9"/>
      <c r="D37" s="9"/>
      <c r="E37" s="9"/>
      <c r="F37" s="9"/>
      <c r="G37" s="9"/>
      <c r="H37" s="9"/>
      <c r="I37" s="9"/>
      <c r="J37" s="9"/>
      <c r="K37" s="9"/>
      <c r="L37" s="9"/>
      <c r="M37" s="9"/>
    </row>
    <row r="38" spans="1:13" x14ac:dyDescent="0.25">
      <c r="A38" s="9"/>
      <c r="B38" s="9"/>
      <c r="C38" s="9"/>
      <c r="D38" s="9"/>
      <c r="E38" s="9"/>
      <c r="F38" s="9"/>
      <c r="G38" s="9"/>
      <c r="H38" s="9"/>
      <c r="I38" s="9"/>
      <c r="J38" s="9"/>
      <c r="K38" s="9"/>
      <c r="L38" s="9"/>
      <c r="M38" s="9"/>
    </row>
    <row r="39" spans="1:13" x14ac:dyDescent="0.25">
      <c r="A39" s="9"/>
      <c r="B39" s="25" t="s">
        <v>20</v>
      </c>
      <c r="C39" s="25"/>
      <c r="D39" s="9"/>
      <c r="E39" s="9"/>
      <c r="F39" s="9"/>
      <c r="G39" s="9"/>
      <c r="H39" s="9"/>
      <c r="I39" s="9"/>
      <c r="J39" s="9"/>
      <c r="K39" s="9"/>
      <c r="L39" s="9"/>
      <c r="M39" s="9"/>
    </row>
    <row r="40" spans="1:13" x14ac:dyDescent="0.25">
      <c r="A40" s="9"/>
      <c r="B40" s="32" t="s">
        <v>163</v>
      </c>
      <c r="C40" s="52"/>
      <c r="D40" s="9"/>
      <c r="E40" s="9"/>
      <c r="F40" s="9"/>
      <c r="G40" s="9"/>
      <c r="H40" s="9"/>
      <c r="I40" s="9"/>
      <c r="J40" s="9"/>
      <c r="K40" s="9"/>
      <c r="L40" s="9"/>
      <c r="M40" s="9"/>
    </row>
    <row r="41" spans="1:13" x14ac:dyDescent="0.25">
      <c r="A41" s="9"/>
      <c r="B41" s="32" t="s">
        <v>186</v>
      </c>
      <c r="C41" s="52">
        <v>35.5</v>
      </c>
      <c r="D41" s="9"/>
      <c r="E41" s="9"/>
      <c r="F41" s="9"/>
      <c r="G41" s="9"/>
      <c r="H41" s="9"/>
      <c r="I41" s="9"/>
      <c r="J41" s="9"/>
      <c r="K41" s="9"/>
      <c r="L41" s="9"/>
      <c r="M41" s="9"/>
    </row>
    <row r="42" spans="1:13" x14ac:dyDescent="0.25">
      <c r="A42" s="9"/>
      <c r="B42" s="32" t="s">
        <v>86</v>
      </c>
      <c r="C42" s="52">
        <v>37.5</v>
      </c>
      <c r="D42" s="9"/>
      <c r="E42" s="9"/>
      <c r="F42" s="9"/>
      <c r="G42" s="9"/>
      <c r="H42" s="9"/>
      <c r="I42" s="9"/>
      <c r="J42" s="9"/>
      <c r="K42" s="9"/>
      <c r="L42" s="9"/>
      <c r="M42" s="9"/>
    </row>
    <row r="43" spans="1:13" x14ac:dyDescent="0.25">
      <c r="A43" s="9"/>
      <c r="B43" s="32" t="s">
        <v>187</v>
      </c>
      <c r="C43" s="52">
        <v>40</v>
      </c>
      <c r="D43" s="9"/>
      <c r="E43" s="9"/>
      <c r="F43" s="9"/>
      <c r="G43" s="9"/>
      <c r="H43" s="9"/>
      <c r="I43" s="9"/>
      <c r="J43" s="9"/>
      <c r="K43" s="9"/>
      <c r="L43" s="9"/>
      <c r="M43" s="9"/>
    </row>
    <row r="44" spans="1:13" x14ac:dyDescent="0.25">
      <c r="A44" s="9"/>
      <c r="B44" s="32" t="s">
        <v>188</v>
      </c>
      <c r="C44" s="52">
        <v>42</v>
      </c>
      <c r="D44" s="9"/>
      <c r="E44" s="9"/>
      <c r="F44" s="9"/>
      <c r="G44" s="9"/>
      <c r="H44" s="9"/>
      <c r="I44" s="9"/>
      <c r="J44" s="9"/>
      <c r="K44" s="9"/>
      <c r="L44" s="9"/>
      <c r="M44" s="9"/>
    </row>
    <row r="45" spans="1:13" x14ac:dyDescent="0.25">
      <c r="A45" s="9"/>
      <c r="B45" s="9"/>
      <c r="C45" s="9"/>
      <c r="D45" s="9"/>
      <c r="E45" s="9"/>
      <c r="F45" s="9"/>
      <c r="G45" s="9"/>
      <c r="H45" s="9"/>
      <c r="I45" s="9"/>
      <c r="J45" s="9"/>
      <c r="K45" s="9"/>
      <c r="L45" s="9"/>
      <c r="M45" s="9"/>
    </row>
    <row r="46" spans="1:13" x14ac:dyDescent="0.25">
      <c r="A46" s="9"/>
      <c r="B46" s="9"/>
      <c r="C46" s="9"/>
      <c r="D46" s="9"/>
      <c r="E46" s="9"/>
      <c r="F46" s="9"/>
      <c r="G46" s="9"/>
      <c r="H46" s="9"/>
      <c r="I46" s="9"/>
      <c r="J46" s="9"/>
      <c r="K46" s="9"/>
      <c r="L46" s="9"/>
      <c r="M46" s="9"/>
    </row>
    <row r="47" spans="1:13" x14ac:dyDescent="0.25">
      <c r="A47" s="9"/>
      <c r="B47" s="25" t="s">
        <v>189</v>
      </c>
      <c r="C47" s="25"/>
      <c r="D47" s="9"/>
      <c r="E47" s="9"/>
      <c r="F47" s="9"/>
      <c r="G47" s="9"/>
      <c r="H47" s="9"/>
      <c r="I47" s="9"/>
      <c r="J47" s="9"/>
      <c r="K47" s="9"/>
      <c r="L47" s="9"/>
      <c r="M47" s="9"/>
    </row>
    <row r="48" spans="1:13" x14ac:dyDescent="0.25">
      <c r="A48" s="9"/>
      <c r="B48" s="32" t="s">
        <v>163</v>
      </c>
      <c r="C48" s="52"/>
      <c r="D48" s="9"/>
      <c r="E48" s="9"/>
      <c r="F48" s="9"/>
      <c r="G48" s="9"/>
      <c r="H48" s="9"/>
      <c r="I48" s="9"/>
      <c r="J48" s="9"/>
      <c r="K48" s="9"/>
      <c r="L48" s="9"/>
      <c r="M48" s="9"/>
    </row>
    <row r="49" spans="1:13" x14ac:dyDescent="0.25">
      <c r="A49" s="9"/>
      <c r="B49" s="143">
        <v>0.14099999999999999</v>
      </c>
      <c r="C49" s="52" t="s">
        <v>190</v>
      </c>
      <c r="D49" s="9"/>
      <c r="E49" s="9"/>
      <c r="F49" s="9"/>
      <c r="G49" s="9"/>
      <c r="H49" s="9"/>
      <c r="I49" s="9"/>
      <c r="J49" s="9"/>
      <c r="K49" s="9"/>
      <c r="L49" s="9"/>
      <c r="M49" s="9"/>
    </row>
    <row r="50" spans="1:13" x14ac:dyDescent="0.25">
      <c r="A50" s="9"/>
      <c r="B50" s="143">
        <v>0.106</v>
      </c>
      <c r="C50" s="52" t="s">
        <v>191</v>
      </c>
      <c r="D50" s="9"/>
      <c r="E50" s="9"/>
      <c r="F50" s="9"/>
      <c r="G50" s="9"/>
      <c r="H50" s="9"/>
      <c r="I50" s="9"/>
      <c r="J50" s="9"/>
      <c r="K50" s="9"/>
      <c r="L50" s="9"/>
      <c r="M50" s="9"/>
    </row>
    <row r="51" spans="1:13" x14ac:dyDescent="0.25">
      <c r="A51" s="9"/>
      <c r="B51" s="143">
        <v>6.4000000000000001E-2</v>
      </c>
      <c r="C51" s="52" t="s">
        <v>192</v>
      </c>
      <c r="D51" s="9"/>
      <c r="E51" s="9"/>
      <c r="F51" s="9"/>
      <c r="G51" s="9"/>
      <c r="H51" s="9"/>
      <c r="I51" s="9"/>
      <c r="J51" s="9"/>
      <c r="K51" s="9"/>
      <c r="L51" s="9"/>
      <c r="M51" s="9"/>
    </row>
    <row r="52" spans="1:13" x14ac:dyDescent="0.25">
      <c r="A52" s="9"/>
      <c r="B52" s="143">
        <v>5.0999999999999997E-2</v>
      </c>
      <c r="C52" s="52" t="s">
        <v>193</v>
      </c>
      <c r="D52" s="9"/>
      <c r="E52" s="9"/>
      <c r="F52" s="9"/>
      <c r="G52" s="9"/>
      <c r="H52" s="9"/>
      <c r="I52" s="9"/>
      <c r="J52" s="9"/>
      <c r="K52" s="9"/>
      <c r="L52" s="9"/>
      <c r="M52" s="9"/>
    </row>
    <row r="53" spans="1:13" x14ac:dyDescent="0.25">
      <c r="A53" s="9"/>
      <c r="B53" s="143">
        <v>7.9000000000000001E-2</v>
      </c>
      <c r="C53" s="52" t="s">
        <v>194</v>
      </c>
      <c r="D53" s="9"/>
      <c r="E53" s="9"/>
      <c r="F53" s="9"/>
      <c r="G53" s="9"/>
      <c r="H53" s="9"/>
      <c r="I53" s="9"/>
      <c r="J53" s="9"/>
      <c r="K53" s="9"/>
      <c r="L53" s="9"/>
      <c r="M53" s="9"/>
    </row>
    <row r="54" spans="1:13" x14ac:dyDescent="0.25">
      <c r="A54" s="9"/>
      <c r="B54" s="143">
        <v>0</v>
      </c>
      <c r="C54" s="52" t="s">
        <v>195</v>
      </c>
      <c r="D54" s="9"/>
      <c r="E54" s="9"/>
      <c r="F54" s="9"/>
      <c r="G54" s="9"/>
      <c r="H54" s="9"/>
      <c r="I54" s="9"/>
      <c r="J54" s="9"/>
      <c r="K54" s="9"/>
      <c r="L54" s="9"/>
      <c r="M54" s="9"/>
    </row>
    <row r="55" spans="1:13" x14ac:dyDescent="0.25">
      <c r="A55" s="9"/>
      <c r="B55" s="38"/>
      <c r="C55" s="140"/>
      <c r="D55" s="9"/>
      <c r="E55" s="9"/>
      <c r="F55" s="9"/>
      <c r="G55" s="9"/>
      <c r="H55" s="9"/>
      <c r="I55" s="9"/>
      <c r="J55" s="9"/>
      <c r="K55" s="9"/>
      <c r="L55" s="9"/>
      <c r="M55" s="9"/>
    </row>
    <row r="56" spans="1:13" x14ac:dyDescent="0.25">
      <c r="A56" s="9"/>
      <c r="B56" s="38"/>
      <c r="C56" s="140"/>
      <c r="D56" s="9"/>
      <c r="E56" s="9"/>
      <c r="F56" s="9"/>
      <c r="G56" s="9"/>
      <c r="H56" s="9"/>
      <c r="I56" s="9"/>
      <c r="J56" s="9"/>
      <c r="K56" s="9"/>
      <c r="L56" s="9"/>
      <c r="M56" s="9"/>
    </row>
    <row r="57" spans="1:13" x14ac:dyDescent="0.25">
      <c r="A57" s="9"/>
      <c r="B57" s="25" t="s">
        <v>82</v>
      </c>
      <c r="C57" s="25"/>
      <c r="D57" s="9"/>
      <c r="E57" s="9"/>
      <c r="F57" s="9"/>
      <c r="G57" s="9"/>
      <c r="H57" s="9"/>
      <c r="I57" s="9"/>
      <c r="J57" s="9"/>
      <c r="K57" s="9"/>
      <c r="L57" s="9"/>
      <c r="M57" s="9"/>
    </row>
    <row r="58" spans="1:13" x14ac:dyDescent="0.25">
      <c r="A58" s="9"/>
      <c r="B58" s="32" t="s">
        <v>163</v>
      </c>
      <c r="C58" s="52"/>
      <c r="D58" s="9"/>
      <c r="E58" s="9"/>
      <c r="F58" s="9"/>
      <c r="G58" s="9"/>
      <c r="H58" s="9"/>
      <c r="I58" s="9"/>
      <c r="J58" s="9"/>
      <c r="K58" s="9"/>
      <c r="L58" s="9"/>
      <c r="M58" s="9"/>
    </row>
    <row r="59" spans="1:13" x14ac:dyDescent="0.25">
      <c r="A59" s="9"/>
      <c r="B59" s="141">
        <v>0.12</v>
      </c>
      <c r="C59" s="139"/>
      <c r="D59" s="9"/>
      <c r="E59" s="9"/>
      <c r="F59" s="9"/>
      <c r="G59" s="9"/>
      <c r="H59" s="9"/>
      <c r="I59" s="9"/>
      <c r="J59" s="9"/>
      <c r="K59" s="9"/>
      <c r="L59" s="9"/>
      <c r="M59" s="9"/>
    </row>
    <row r="60" spans="1:13" x14ac:dyDescent="0.25">
      <c r="A60" s="9"/>
      <c r="B60" s="142">
        <v>0.14299999999999999</v>
      </c>
      <c r="C60" s="139"/>
      <c r="D60" s="9"/>
      <c r="E60" s="9"/>
      <c r="F60" s="9"/>
      <c r="G60" s="9"/>
      <c r="H60" s="9"/>
      <c r="I60" s="9"/>
      <c r="J60" s="9"/>
      <c r="K60" s="9"/>
      <c r="L60" s="9"/>
      <c r="M60" s="9"/>
    </row>
    <row r="61" spans="1:13" x14ac:dyDescent="0.25">
      <c r="A61" s="9"/>
      <c r="B61" s="38"/>
      <c r="C61" s="140"/>
      <c r="D61" s="9"/>
      <c r="E61" s="9"/>
      <c r="F61" s="9"/>
      <c r="G61" s="9"/>
      <c r="H61" s="9"/>
      <c r="I61" s="9"/>
      <c r="J61" s="9"/>
      <c r="K61" s="9"/>
      <c r="L61" s="9"/>
      <c r="M61" s="9"/>
    </row>
    <row r="62" spans="1:13" x14ac:dyDescent="0.25">
      <c r="A62" s="9"/>
      <c r="B62" s="9"/>
      <c r="C62" s="9"/>
      <c r="D62" s="9"/>
      <c r="E62" s="9"/>
      <c r="F62" s="9"/>
      <c r="G62" s="9"/>
      <c r="H62" s="9"/>
      <c r="I62" s="9"/>
      <c r="J62" s="9"/>
      <c r="K62" s="9"/>
      <c r="L62" s="9"/>
      <c r="M62" s="9"/>
    </row>
  </sheetData>
  <sheetProtection sheet="1" objects="1" scenarios="1"/>
  <hyperlinks>
    <hyperlink ref="F23" r:id="rId1" xr:uid="{CB126D49-5578-4A57-9CDA-322FC5D0CE65}"/>
    <hyperlink ref="F25" r:id="rId2" xr:uid="{8A02B5F2-CF4D-4AA7-9355-AB3FB541B3FB}"/>
    <hyperlink ref="F24" r:id="rId3" xr:uid="{E9B3DA44-1B9A-48DE-94CA-D5F488463E93}"/>
    <hyperlink ref="F33" r:id="rId4" xr:uid="{02075A33-CBAB-4887-9353-28A2FDD175F5}"/>
    <hyperlink ref="F32" r:id="rId5" xr:uid="{F9B655D5-2552-4C95-9C87-5687BDF51856}"/>
    <hyperlink ref="F31" r:id="rId6" xr:uid="{5B4B08CB-8DE1-4680-A42D-4812E2AC543E}"/>
    <hyperlink ref="F26" r:id="rId7" xr:uid="{030D9E05-5912-4014-AC94-0997E5BAFD97}"/>
    <hyperlink ref="F34" r:id="rId8" xr:uid="{3D56D373-2FB2-4E0B-A71E-D6FCDFDDDCE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F49BDC746C4C418067610B745AD0CD" ma:contentTypeVersion="20" ma:contentTypeDescription="Opprett et nytt dokument." ma:contentTypeScope="" ma:versionID="c46ba890c5f0525de3cfd5a58046c02a">
  <xsd:schema xmlns:xsd="http://www.w3.org/2001/XMLSchema" xmlns:xs="http://www.w3.org/2001/XMLSchema" xmlns:p="http://schemas.microsoft.com/office/2006/metadata/properties" xmlns:ns2="c7597926-a812-4ee7-a13b-320962d63a84" xmlns:ns3="8f518240-5ef8-49a2-b90b-6951a90012b0" targetNamespace="http://schemas.microsoft.com/office/2006/metadata/properties" ma:root="true" ma:fieldsID="f3abe8b11e18ae478c2946ba4ca1b856" ns2:_="" ns3:_="">
    <xsd:import namespace="c7597926-a812-4ee7-a13b-320962d63a84"/>
    <xsd:import namespace="8f518240-5ef8-49a2-b90b-6951a90012b0"/>
    <xsd:element name="properties">
      <xsd:complexType>
        <xsd:sequence>
          <xsd:element name="documentManagement">
            <xsd:complexType>
              <xsd:all>
                <xsd:element ref="ns2:k5c859c16646455f964b4972598052bc" minOccurs="0"/>
                <xsd:element ref="ns2:TaxCatchAll" minOccurs="0"/>
                <xsd:element ref="ns2:cfa1b03326bb4579bc4688365bca5b1a" minOccurs="0"/>
                <xsd:element ref="ns2:SharedWithUsers" minOccurs="0"/>
                <xsd:element ref="ns2:SharedWithDetails" minOccurs="0"/>
                <xsd:element ref="ns3:MediaServiceMetadata" minOccurs="0"/>
                <xsd:element ref="ns3:MediaServiceFastMetadata" minOccurs="0"/>
                <xsd:element ref="ns3:Kategori" minOccurs="0"/>
                <xsd:element ref="ns3:MediaServiceDateTaken" minOccurs="0"/>
                <xsd:element ref="ns3:MediaServiceAutoKeyPoints" minOccurs="0"/>
                <xsd:element ref="ns3:MediaServiceKeyPoints"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97926-a812-4ee7-a13b-320962d63a84" elementFormDefault="qualified">
    <xsd:import namespace="http://schemas.microsoft.com/office/2006/documentManagement/types"/>
    <xsd:import namespace="http://schemas.microsoft.com/office/infopath/2007/PartnerControls"/>
    <xsd:element name="k5c859c16646455f964b4972598052bc" ma:index="8" nillable="true" ma:taxonomy="true" ma:internalName="k5c859c16646455f964b4972598052bc" ma:taxonomyFieldName="Imdi_Hovedtema" ma:displayName="Hovedtema" ma:default="1;#Tilskudd|f58e6203-f7c4-4e7f-8352-d9dc047e4893" ma:fieldId="{45c859c1-6646-455f-964b-4972598052bc}" ma:sspId="ecaa4f8c-f6fd-428c-ac8d-6534732d151d" ma:termSetId="c082be91-6f98-45f6-9e06-68a504b1841d"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1d5595a-5a69-477a-90c5-c3b2d66fda59}" ma:internalName="TaxCatchAll" ma:showField="CatchAllData" ma:web="c7597926-a812-4ee7-a13b-320962d63a84">
      <xsd:complexType>
        <xsd:complexContent>
          <xsd:extension base="dms:MultiChoiceLookup">
            <xsd:sequence>
              <xsd:element name="Value" type="dms:Lookup" maxOccurs="unbounded" minOccurs="0" nillable="true"/>
            </xsd:sequence>
          </xsd:extension>
        </xsd:complexContent>
      </xsd:complexType>
    </xsd:element>
    <xsd:element name="cfa1b03326bb4579bc4688365bca5b1a" ma:index="11" nillable="true" ma:taxonomy="true" ma:internalName="cfa1b03326bb4579bc4688365bca5b1a" ma:taxonomyFieldName="Imdi_Dokumenttype" ma:displayName="Dokumenttype" ma:default="" ma:fieldId="{cfa1b033-26bb-4579-bc46-88365bca5b1a}" ma:sspId="ecaa4f8c-f6fd-428c-ac8d-6534732d151d" ma:termSetId="7c17226c-02ff-441e-b4ff-b9697f01242e" ma:anchorId="00000000-0000-0000-0000-000000000000" ma:open="false" ma:isKeyword="false">
      <xsd:complexType>
        <xsd:sequence>
          <xsd:element ref="pc:Terms" minOccurs="0" maxOccurs="1"/>
        </xsd:sequence>
      </xsd:complexType>
    </xsd:element>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518240-5ef8-49a2-b90b-6951a90012b0"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Kategori" ma:index="17" nillable="true" ma:displayName="Kategori" ma:format="Dropdown" ma:internalName="Kategori">
      <xsd:simpleType>
        <xsd:restriction base="dms:Choice">
          <xsd:enumeration value="Forbedringsaktiviteter"/>
          <xsd:enumeration value="Opplæring"/>
          <xsd:enumeration value="Tavlemøter"/>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AutoTags" ma:index="21" nillable="true" ma:displayName="Tags" ma:internalName="MediaServiceAutoTag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5c859c16646455f964b4972598052bc xmlns="c7597926-a812-4ee7-a13b-320962d63a84">
      <Terms xmlns="http://schemas.microsoft.com/office/infopath/2007/PartnerControls">
        <TermInfo xmlns="http://schemas.microsoft.com/office/infopath/2007/PartnerControls">
          <TermName xmlns="http://schemas.microsoft.com/office/infopath/2007/PartnerControls">Tilskudd</TermName>
          <TermId xmlns="http://schemas.microsoft.com/office/infopath/2007/PartnerControls">f58e6203-f7c4-4e7f-8352-d9dc047e4893</TermId>
        </TermInfo>
      </Terms>
    </k5c859c16646455f964b4972598052bc>
    <TaxCatchAll xmlns="c7597926-a812-4ee7-a13b-320962d63a84">
      <Value>1</Value>
    </TaxCatchAll>
    <cfa1b03326bb4579bc4688365bca5b1a xmlns="c7597926-a812-4ee7-a13b-320962d63a84">
      <Terms xmlns="http://schemas.microsoft.com/office/infopath/2007/PartnerControls"/>
    </cfa1b03326bb4579bc4688365bca5b1a>
    <Kategori xmlns="8f518240-5ef8-49a2-b90b-6951a90012b0" xsi:nil="true"/>
  </documentManagement>
</p:properties>
</file>

<file path=customXml/itemProps1.xml><?xml version="1.0" encoding="utf-8"?>
<ds:datastoreItem xmlns:ds="http://schemas.openxmlformats.org/officeDocument/2006/customXml" ds:itemID="{9048FC01-42AC-43E3-B039-F448F46F7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97926-a812-4ee7-a13b-320962d63a84"/>
    <ds:schemaRef ds:uri="8f518240-5ef8-49a2-b90b-6951a9001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28B461-F411-4AFB-A4A7-E5C022682BDB}">
  <ds:schemaRefs>
    <ds:schemaRef ds:uri="http://schemas.microsoft.com/sharepoint/v3/contenttype/forms"/>
  </ds:schemaRefs>
</ds:datastoreItem>
</file>

<file path=customXml/itemProps3.xml><?xml version="1.0" encoding="utf-8"?>
<ds:datastoreItem xmlns:ds="http://schemas.openxmlformats.org/officeDocument/2006/customXml" ds:itemID="{A90920E0-9EF3-4C27-A822-B76BDC8E5A01}">
  <ds:schemaRefs>
    <ds:schemaRef ds:uri="http://schemas.microsoft.com/office/2006/metadata/properties"/>
    <ds:schemaRef ds:uri="http://schemas.microsoft.com/office/infopath/2007/PartnerControls"/>
    <ds:schemaRef ds:uri="c7597926-a812-4ee7-a13b-320962d63a84"/>
    <ds:schemaRef ds:uri="8f518240-5ef8-49a2-b90b-6951a90012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5</vt:i4>
      </vt:variant>
    </vt:vector>
  </HeadingPairs>
  <TitlesOfParts>
    <vt:vector size="14" baseType="lpstr">
      <vt:lpstr>Veileder</vt:lpstr>
      <vt:lpstr>Begrepsliste</vt:lpstr>
      <vt:lpstr>Lønn uten undervisningstid</vt:lpstr>
      <vt:lpstr>Lønn med undervisningstid</vt:lpstr>
      <vt:lpstr>Barnevernstiltak</vt:lpstr>
      <vt:lpstr>Ansvarsgruppemøter</vt:lpstr>
      <vt:lpstr>Tolk</vt:lpstr>
      <vt:lpstr>Transport</vt:lpstr>
      <vt:lpstr>Innstillinger</vt:lpstr>
      <vt:lpstr>Beredskapshjem</vt:lpstr>
      <vt:lpstr>Før2022</vt:lpstr>
      <vt:lpstr>Grunnstøtte</vt:lpstr>
      <vt:lpstr>Institusjon</vt:lpstr>
      <vt:lpstr>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Caryll Nordli</dc:creator>
  <cp:keywords/>
  <dc:description/>
  <cp:lastModifiedBy>Caryll Nordli</cp:lastModifiedBy>
  <cp:revision/>
  <dcterms:created xsi:type="dcterms:W3CDTF">2024-08-19T13:11:21Z</dcterms:created>
  <dcterms:modified xsi:type="dcterms:W3CDTF">2025-07-02T12:49:21Z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0x010100F2F49BDC746C4C418067610B745AD0CD</vt:lpwstr>
  </property>
  <property fmtid="{D5CDD505-2E9C-101B-9397-08002B2CF9AE}" pid="3" name="Imdi_Hovedtema">
    <vt:lpwstr>1;#Tilskudd|f58e6203-f7c4-4e7f-8352-d9dc047e4893</vt:lpwstr>
  </property>
  <property fmtid="{D5CDD505-2E9C-101B-9397-08002B2CF9AE}" pid="4" name="Imdi_Dokumenttype">
    <vt:lpwstr/>
  </property>
</Properties>
</file>