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https://imdi.sharepoint.com/sites/funkhemteamet_Fag/Delte dokumenter/General/Rutiner/Kostnadsberegning/"/>
    </mc:Choice>
  </mc:AlternateContent>
  <xr:revisionPtr revIDLastSave="1556" documentId="8_{866A9014-8FB5-421A-8138-9A66B82345B5}" xr6:coauthVersionLast="47" xr6:coauthVersionMax="47" xr10:uidLastSave="{4CDE3187-5D04-4DDD-A0DF-C2BA541741F3}"/>
  <bookViews>
    <workbookView xWindow="-120" yWindow="-120" windowWidth="29040" windowHeight="15720" tabRatio="765" activeTab="8" xr2:uid="{6AEEFD73-1B99-4AFD-8923-AE5939DB6547}"/>
  </bookViews>
  <sheets>
    <sheet name="Veileder" sheetId="56" r:id="rId1"/>
    <sheet name="Begrepsliste" sheetId="37" r:id="rId2"/>
    <sheet name="Oppsummering" sheetId="43" r:id="rId3"/>
    <sheet name="1 Lønn" sheetId="32" r:id="rId4"/>
    <sheet name="2 Lønn med undervisningstid" sheetId="53" r:id="rId5"/>
    <sheet name="3 Godtgjørelser" sheetId="55" r:id="rId6"/>
    <sheet name="4 Egenandel" sheetId="24" r:id="rId7"/>
    <sheet name="5 Fakturabaserte kostnader" sheetId="52" r:id="rId8"/>
    <sheet name="6 Ansvarsgruppemøter" sheetId="10" r:id="rId9"/>
    <sheet name="Innstillinger" sheetId="26" state="hidden" r:id="rId10"/>
  </sheets>
  <externalReferences>
    <externalReference r:id="rId11"/>
  </externalReferences>
  <definedNames>
    <definedName name="AGA">Innstillinger!$B$57:$B$63</definedName>
    <definedName name="Beredskapshjem" localSheetId="0">[1]Innstillinger!$D$29:$D$35</definedName>
    <definedName name="Beredskapshjem">Innstillinger!$D$29:$D$35</definedName>
    <definedName name="Besøksjem" localSheetId="0">[1]Innstillinger!$D$38:$D$44</definedName>
    <definedName name="Besøksjem">Innstillinger!$D$38:$D$44</definedName>
    <definedName name="Før2022" localSheetId="0">[1]Innstillinger!$E$29:$E$35</definedName>
    <definedName name="Før2022">Innstillinger!$E$29:$E$35</definedName>
    <definedName name="Grunnstøtte" localSheetId="0">[1]Innstillinger!$C$38:$C$44</definedName>
    <definedName name="Grunnstøtte">Innstillinger!$C$38:$C$44</definedName>
    <definedName name="Institusjon" localSheetId="0">[1]Innstillinger!$C$29:$C$35</definedName>
    <definedName name="Institusjon">Innstillinger!$C$29:$C$35</definedName>
    <definedName name="Lønn">Innstillinger!$B$8:$B$10</definedName>
    <definedName name="MST_FFT" localSheetId="0">[1]Innstillinger!$F$29:$F$35</definedName>
    <definedName name="MST_FFT">Innstillinger!$F$29:$F$35</definedName>
    <definedName name="Område" localSheetId="0">[1]Innstillinger!$B$14:$B$16</definedName>
    <definedName name="Område">Innstillinger!$B$14:$B$16</definedName>
    <definedName name="Sone">Innstillinger!$C$57:$C$63</definedName>
    <definedName name="Trinn" localSheetId="0">[1]Innstillinger!$B$20:$B$25</definedName>
    <definedName name="Trinn">Innstillinger!$B$20:$B$25</definedName>
    <definedName name="_xlnm.Print_Area" localSheetId="3">'1 Lønn'!$A$16:$W$388</definedName>
    <definedName name="_xlnm.Print_Area" localSheetId="4">'2 Lønn med undervisningstid'!$A$17:$O$71</definedName>
    <definedName name="_xlnm.Print_Area" localSheetId="5">'3 Godtgjørelser'!$A$14:$O$75,'3 Godtgjørelser'!$A$77:$O$163</definedName>
    <definedName name="_xlnm.Print_Area" localSheetId="6">'4 Egenandel'!$A$12:$N$85,'4 Egenandel'!$A$87:$N$1048576</definedName>
    <definedName name="_xlnm.Print_Area" localSheetId="7">'5 Fakturabaserte kostnader'!$A$18:$N$69</definedName>
    <definedName name="_xlnm.Print_Area" localSheetId="8">'6 Ansvarsgruppemøter'!$A$16:$T$56</definedName>
    <definedName name="_xlnm.Print_Area" localSheetId="1">Begrepsliste!$C$2:$C$75</definedName>
    <definedName name="_xlnm.Print_Area" localSheetId="2">Oppsummering!$C$1:$G$41</definedName>
    <definedName name="_xlnm.Print_Titles" localSheetId="3">'1 Lønn'!$1:$4</definedName>
    <definedName name="_xlnm.Print_Titles" localSheetId="4">'2 Lønn med undervisningstid'!$1:$4</definedName>
    <definedName name="_xlnm.Print_Titles" localSheetId="5">'3 Godtgjørelser'!$1:$4</definedName>
    <definedName name="_xlnm.Print_Titles" localSheetId="6">'4 Egenandel'!$1:$4</definedName>
    <definedName name="_xlnm.Print_Titles" localSheetId="7">'5 Fakturabaserte kostnader'!$1:$4</definedName>
    <definedName name="_xlnm.Print_Titles" localSheetId="8">'6 Ansvarsgruppemøter'!$1:$4</definedName>
    <definedName name="_xlnm.Print_Titles" localSheetId="1">Begrepsliste!$1:$1</definedName>
    <definedName name="Årsramme">Innstillinger!$C$21:$C$24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3" i="55" l="1" a="1"/>
  <c r="S33" i="55" s="1"/>
  <c r="I33" i="55" s="1"/>
  <c r="S32" i="55" a="1"/>
  <c r="S32" i="55" s="1"/>
  <c r="R33" i="55"/>
  <c r="M33" i="10"/>
  <c r="M21" i="10"/>
  <c r="E41" i="10"/>
  <c r="E73" i="32"/>
  <c r="R58" i="32"/>
  <c r="S55" i="32"/>
  <c r="S55" i="32" a="1"/>
  <c r="R55" i="32"/>
  <c r="Q55" i="32"/>
  <c r="I55" i="32"/>
  <c r="S54" i="32" a="1"/>
  <c r="S54" i="32" s="1"/>
  <c r="R53" i="32"/>
  <c r="Q53" i="32"/>
  <c r="S52" i="32" a="1"/>
  <c r="S52" i="32" s="1"/>
  <c r="I52" i="32" s="1"/>
  <c r="R52" i="32"/>
  <c r="Q52" i="32"/>
  <c r="R48" i="32"/>
  <c r="Q48" i="32"/>
  <c r="R47" i="32"/>
  <c r="T47" i="32" s="1"/>
  <c r="Q47" i="32"/>
  <c r="R46" i="32"/>
  <c r="Q46" i="32"/>
  <c r="R45" i="32"/>
  <c r="T45" i="32" s="1"/>
  <c r="Q45" i="32"/>
  <c r="R44" i="32"/>
  <c r="Q44" i="32"/>
  <c r="S41" i="32"/>
  <c r="I41" i="32" s="1"/>
  <c r="S41" i="32" a="1"/>
  <c r="R41" i="32"/>
  <c r="Q41" i="32"/>
  <c r="S40" i="32" a="1"/>
  <c r="S40" i="32" s="1"/>
  <c r="I40" i="32" s="1"/>
  <c r="R35" i="32"/>
  <c r="Q35" i="32"/>
  <c r="R34" i="32"/>
  <c r="S48" i="32" s="1" a="1"/>
  <c r="S48" i="32" s="1"/>
  <c r="I48" i="32" s="1"/>
  <c r="Q34" i="32"/>
  <c r="R33" i="32"/>
  <c r="Q33" i="32"/>
  <c r="R31" i="32"/>
  <c r="S46" i="32" s="1" a="1"/>
  <c r="S46" i="32" s="1"/>
  <c r="I46" i="32" s="1"/>
  <c r="Q31" i="32"/>
  <c r="R30" i="32"/>
  <c r="T30" i="32" s="1"/>
  <c r="Q30" i="32"/>
  <c r="R27" i="32"/>
  <c r="F27" i="32" s="1"/>
  <c r="E29" i="32" s="1"/>
  <c r="Q27" i="32"/>
  <c r="S26" i="32" a="1"/>
  <c r="S26" i="32" s="1"/>
  <c r="I26" i="32" s="1"/>
  <c r="R26" i="32"/>
  <c r="Q26" i="32"/>
  <c r="S25" i="32"/>
  <c r="I25" i="32" s="1"/>
  <c r="S25" i="32" a="1"/>
  <c r="R25" i="32"/>
  <c r="Q25" i="32"/>
  <c r="S22" i="32" a="1"/>
  <c r="S22" i="32" s="1"/>
  <c r="I22" i="32" s="1"/>
  <c r="R22" i="32"/>
  <c r="Q22" i="32"/>
  <c r="S21" i="32" a="1"/>
  <c r="S21" i="32" s="1"/>
  <c r="I21" i="32" s="1"/>
  <c r="R21" i="32"/>
  <c r="Q21" i="32"/>
  <c r="P18" i="32"/>
  <c r="E18" i="32" s="1"/>
  <c r="E144" i="32"/>
  <c r="R129" i="32"/>
  <c r="R130" i="32" s="1"/>
  <c r="S126" i="32"/>
  <c r="I126" i="32" s="1"/>
  <c r="S126" i="32" a="1"/>
  <c r="R126" i="32"/>
  <c r="Q126" i="32"/>
  <c r="S125" i="32"/>
  <c r="S145" i="32" s="1"/>
  <c r="S125" i="32" a="1"/>
  <c r="R124" i="32"/>
  <c r="Q124" i="32"/>
  <c r="S123" i="32" a="1"/>
  <c r="S123" i="32" s="1"/>
  <c r="I123" i="32" s="1"/>
  <c r="R123" i="32"/>
  <c r="Q123" i="32"/>
  <c r="R119" i="32"/>
  <c r="Q119" i="32"/>
  <c r="R118" i="32"/>
  <c r="T118" i="32" s="1"/>
  <c r="Q118" i="32"/>
  <c r="T117" i="32"/>
  <c r="S117" i="32" a="1"/>
  <c r="S117" i="32" s="1"/>
  <c r="I117" i="32" s="1"/>
  <c r="R117" i="32"/>
  <c r="Q117" i="32"/>
  <c r="T116" i="32"/>
  <c r="S116" i="32" a="1"/>
  <c r="S116" i="32" s="1"/>
  <c r="I116" i="32" s="1"/>
  <c r="R116" i="32"/>
  <c r="Q116" i="32"/>
  <c r="R115" i="32"/>
  <c r="Q115" i="32"/>
  <c r="S112" i="32" a="1"/>
  <c r="S112" i="32" s="1"/>
  <c r="I112" i="32" s="1"/>
  <c r="R112" i="32"/>
  <c r="Q112" i="32"/>
  <c r="S111" i="32" a="1"/>
  <c r="S111" i="32" s="1"/>
  <c r="I111" i="32" s="1"/>
  <c r="R106" i="32"/>
  <c r="S119" i="32" s="1" a="1"/>
  <c r="S119" i="32" s="1"/>
  <c r="I119" i="32" s="1"/>
  <c r="Q106" i="32"/>
  <c r="R105" i="32"/>
  <c r="Q105" i="32"/>
  <c r="R104" i="32"/>
  <c r="S118" i="32" s="1" a="1"/>
  <c r="S118" i="32" s="1"/>
  <c r="I118" i="32" s="1"/>
  <c r="Q104" i="32"/>
  <c r="R102" i="32"/>
  <c r="Q102" i="32"/>
  <c r="R101" i="32"/>
  <c r="Q101" i="32"/>
  <c r="Q98" i="32"/>
  <c r="S97" i="32" a="1"/>
  <c r="S97" i="32" s="1"/>
  <c r="I97" i="32" s="1"/>
  <c r="R97" i="32"/>
  <c r="Q97" i="32"/>
  <c r="S96" i="32" a="1"/>
  <c r="S96" i="32" s="1"/>
  <c r="I96" i="32" s="1"/>
  <c r="R96" i="32"/>
  <c r="R98" i="32" s="1"/>
  <c r="Q96" i="32"/>
  <c r="S93" i="32" a="1"/>
  <c r="S93" i="32" s="1"/>
  <c r="I93" i="32" s="1"/>
  <c r="R93" i="32"/>
  <c r="Q93" i="32"/>
  <c r="S92" i="32"/>
  <c r="S92" i="32" a="1"/>
  <c r="R92" i="32"/>
  <c r="Q92" i="32"/>
  <c r="I92" i="32"/>
  <c r="P89" i="32"/>
  <c r="E89" i="32" s="1"/>
  <c r="E357" i="32"/>
  <c r="S339" i="32" a="1"/>
  <c r="S339" i="32" s="1"/>
  <c r="I339" i="32" s="1"/>
  <c r="R339" i="32"/>
  <c r="Q339" i="32"/>
  <c r="S338" i="32" a="1"/>
  <c r="S338" i="32" s="1"/>
  <c r="R337" i="32"/>
  <c r="Q337" i="32"/>
  <c r="S336" i="32" a="1"/>
  <c r="S336" i="32" s="1"/>
  <c r="I336" i="32" s="1"/>
  <c r="R336" i="32"/>
  <c r="Q336" i="32"/>
  <c r="R332" i="32"/>
  <c r="Q332" i="32"/>
  <c r="T331" i="32"/>
  <c r="R331" i="32"/>
  <c r="Q331" i="32"/>
  <c r="R330" i="32"/>
  <c r="Q330" i="32"/>
  <c r="R329" i="32"/>
  <c r="Q329" i="32"/>
  <c r="R328" i="32"/>
  <c r="Q328" i="32"/>
  <c r="S325" i="32" a="1"/>
  <c r="S325" i="32" s="1"/>
  <c r="I325" i="32" s="1"/>
  <c r="R325" i="32"/>
  <c r="Q325" i="32"/>
  <c r="S324" i="32" a="1"/>
  <c r="S324" i="32" s="1"/>
  <c r="I324" i="32" s="1"/>
  <c r="R319" i="32"/>
  <c r="Q319" i="32"/>
  <c r="R318" i="32"/>
  <c r="Q318" i="32"/>
  <c r="R317" i="32"/>
  <c r="S331" i="32" s="1" a="1"/>
  <c r="S331" i="32" s="1"/>
  <c r="I331" i="32" s="1"/>
  <c r="Q317" i="32"/>
  <c r="R315" i="32"/>
  <c r="Q315" i="32"/>
  <c r="R314" i="32"/>
  <c r="Q314" i="32"/>
  <c r="Q311" i="32"/>
  <c r="S310" i="32" a="1"/>
  <c r="S310" i="32" s="1"/>
  <c r="I310" i="32" s="1"/>
  <c r="R310" i="32"/>
  <c r="Q310" i="32"/>
  <c r="S309" i="32" a="1"/>
  <c r="S309" i="32" s="1"/>
  <c r="I309" i="32" s="1"/>
  <c r="R309" i="32"/>
  <c r="Q309" i="32"/>
  <c r="S306" i="32" a="1"/>
  <c r="S306" i="32" s="1"/>
  <c r="I306" i="32" s="1"/>
  <c r="R306" i="32"/>
  <c r="Q306" i="32"/>
  <c r="S305" i="32" a="1"/>
  <c r="S305" i="32" s="1"/>
  <c r="I305" i="32" s="1"/>
  <c r="R305" i="32"/>
  <c r="Q305" i="32"/>
  <c r="P302" i="32"/>
  <c r="E302" i="32" s="1"/>
  <c r="E286" i="32"/>
  <c r="S268" i="32" a="1"/>
  <c r="S268" i="32" s="1"/>
  <c r="I268" i="32" s="1"/>
  <c r="R268" i="32"/>
  <c r="Q268" i="32"/>
  <c r="S267" i="32" a="1"/>
  <c r="S267" i="32" s="1"/>
  <c r="I267" i="32" s="1"/>
  <c r="R266" i="32"/>
  <c r="Q266" i="32"/>
  <c r="S265" i="32" a="1"/>
  <c r="S265" i="32" s="1"/>
  <c r="I265" i="32" s="1"/>
  <c r="R265" i="32"/>
  <c r="Q265" i="32"/>
  <c r="R261" i="32"/>
  <c r="Q261" i="32"/>
  <c r="R260" i="32"/>
  <c r="Q260" i="32"/>
  <c r="R259" i="32"/>
  <c r="T259" i="32" s="1"/>
  <c r="Q259" i="32"/>
  <c r="R258" i="32"/>
  <c r="T258" i="32" s="1"/>
  <c r="Q258" i="32"/>
  <c r="R257" i="32"/>
  <c r="Q257" i="32"/>
  <c r="S254" i="32" a="1"/>
  <c r="S254" i="32" s="1"/>
  <c r="I254" i="32" s="1"/>
  <c r="R254" i="32"/>
  <c r="Q254" i="32"/>
  <c r="S253" i="32" a="1"/>
  <c r="S253" i="32" s="1"/>
  <c r="I253" i="32" s="1"/>
  <c r="R248" i="32"/>
  <c r="S261" i="32" s="1" a="1"/>
  <c r="S261" i="32" s="1"/>
  <c r="I261" i="32" s="1"/>
  <c r="Q248" i="32"/>
  <c r="R247" i="32"/>
  <c r="Q247" i="32"/>
  <c r="R246" i="32"/>
  <c r="S260" i="32" s="1" a="1"/>
  <c r="S260" i="32" s="1"/>
  <c r="I260" i="32" s="1"/>
  <c r="Q246" i="32"/>
  <c r="R244" i="32"/>
  <c r="Q244" i="32"/>
  <c r="R243" i="32"/>
  <c r="Q243" i="32"/>
  <c r="Q240" i="32"/>
  <c r="S239" i="32" a="1"/>
  <c r="S239" i="32" s="1"/>
  <c r="I239" i="32" s="1"/>
  <c r="R239" i="32"/>
  <c r="R240" i="32" s="1"/>
  <c r="F240" i="32" s="1"/>
  <c r="Q239" i="32"/>
  <c r="S238" i="32" a="1"/>
  <c r="S238" i="32" s="1"/>
  <c r="I238" i="32" s="1"/>
  <c r="R238" i="32"/>
  <c r="Q238" i="32"/>
  <c r="S235" i="32" a="1"/>
  <c r="S235" i="32" s="1"/>
  <c r="I235" i="32" s="1"/>
  <c r="R235" i="32"/>
  <c r="Q235" i="32"/>
  <c r="S234" i="32" a="1"/>
  <c r="S234" i="32" s="1"/>
  <c r="I234" i="32" s="1"/>
  <c r="R234" i="32"/>
  <c r="Q234" i="32"/>
  <c r="P231" i="32"/>
  <c r="P253" i="32" s="1"/>
  <c r="E215" i="32"/>
  <c r="S197" i="32" a="1"/>
  <c r="S197" i="32" s="1"/>
  <c r="I197" i="32" s="1"/>
  <c r="R197" i="32"/>
  <c r="Q197" i="32"/>
  <c r="S196" i="32" a="1"/>
  <c r="S196" i="32" s="1"/>
  <c r="R195" i="32"/>
  <c r="Q195" i="32"/>
  <c r="S194" i="32" a="1"/>
  <c r="S194" i="32" s="1"/>
  <c r="I194" i="32" s="1"/>
  <c r="R194" i="32"/>
  <c r="Q194" i="32"/>
  <c r="R190" i="32"/>
  <c r="Q190" i="32"/>
  <c r="R189" i="32"/>
  <c r="Q189" i="32"/>
  <c r="R188" i="32"/>
  <c r="T188" i="32" s="1"/>
  <c r="Q188" i="32"/>
  <c r="S187" i="32" a="1"/>
  <c r="S187" i="32" s="1"/>
  <c r="I187" i="32" s="1"/>
  <c r="R187" i="32"/>
  <c r="Q187" i="32"/>
  <c r="R186" i="32"/>
  <c r="Q186" i="32"/>
  <c r="S183" i="32" a="1"/>
  <c r="S183" i="32" s="1"/>
  <c r="I183" i="32" s="1"/>
  <c r="R183" i="32"/>
  <c r="R200" i="32" s="1"/>
  <c r="R201" i="32" s="1"/>
  <c r="Q183" i="32"/>
  <c r="S182" i="32" a="1"/>
  <c r="S182" i="32" s="1"/>
  <c r="I182" i="32" s="1"/>
  <c r="R177" i="32"/>
  <c r="Q177" i="32"/>
  <c r="R176" i="32"/>
  <c r="S190" i="32" s="1" a="1"/>
  <c r="S190" i="32" s="1"/>
  <c r="I190" i="32" s="1"/>
  <c r="Q176" i="32"/>
  <c r="R175" i="32"/>
  <c r="Q175" i="32"/>
  <c r="R173" i="32"/>
  <c r="Q173" i="32"/>
  <c r="R172" i="32"/>
  <c r="Q172" i="32"/>
  <c r="Q169" i="32"/>
  <c r="S168" i="32" a="1"/>
  <c r="S168" i="32" s="1"/>
  <c r="I168" i="32" s="1"/>
  <c r="R168" i="32"/>
  <c r="Q168" i="32"/>
  <c r="S167" i="32" a="1"/>
  <c r="S167" i="32" s="1"/>
  <c r="I167" i="32" s="1"/>
  <c r="R167" i="32"/>
  <c r="Q167" i="32"/>
  <c r="S164" i="32" a="1"/>
  <c r="S164" i="32" s="1"/>
  <c r="I164" i="32" s="1"/>
  <c r="R164" i="32"/>
  <c r="Q164" i="32"/>
  <c r="S163" i="32" a="1"/>
  <c r="S163" i="32" s="1"/>
  <c r="I163" i="32" s="1"/>
  <c r="R163" i="32"/>
  <c r="Q163" i="32"/>
  <c r="P160" i="32"/>
  <c r="E160" i="32" s="1"/>
  <c r="M35" i="10"/>
  <c r="M34" i="10"/>
  <c r="M25" i="10"/>
  <c r="M24" i="10"/>
  <c r="M23" i="10"/>
  <c r="M22" i="10"/>
  <c r="T280" i="53"/>
  <c r="E278" i="53"/>
  <c r="S261" i="53" a="1"/>
  <c r="S261" i="53" s="1"/>
  <c r="I261" i="53" s="1"/>
  <c r="R261" i="53"/>
  <c r="Q261" i="53"/>
  <c r="S260" i="53" a="1"/>
  <c r="S260" i="53" s="1"/>
  <c r="I260" i="53" s="1"/>
  <c r="R259" i="53"/>
  <c r="S258" i="53" a="1"/>
  <c r="S258" i="53" s="1"/>
  <c r="I258" i="53" s="1"/>
  <c r="R258" i="53"/>
  <c r="Q258" i="53"/>
  <c r="R257" i="53"/>
  <c r="Q257" i="53"/>
  <c r="S254" i="53" a="1"/>
  <c r="S254" i="53" s="1"/>
  <c r="I254" i="53" s="1"/>
  <c r="Q254" i="53"/>
  <c r="S253" i="53" a="1"/>
  <c r="S253" i="53" s="1"/>
  <c r="I253" i="53" s="1"/>
  <c r="R253" i="53"/>
  <c r="Q253" i="53"/>
  <c r="S252" i="53" a="1"/>
  <c r="S252" i="53" s="1"/>
  <c r="I252" i="53" s="1"/>
  <c r="R252" i="53"/>
  <c r="Q252" i="53"/>
  <c r="S251" i="53" a="1"/>
  <c r="S251" i="53" s="1"/>
  <c r="I251" i="53" s="1"/>
  <c r="Q251" i="53"/>
  <c r="S246" i="53" a="1"/>
  <c r="S246" i="53" s="1"/>
  <c r="I246" i="53" s="1"/>
  <c r="R246" i="53"/>
  <c r="Q246" i="53"/>
  <c r="S245" i="53" a="1"/>
  <c r="S245" i="53" s="1"/>
  <c r="I245" i="53" s="1"/>
  <c r="R245" i="53"/>
  <c r="Q245" i="53"/>
  <c r="S242" i="53" a="1"/>
  <c r="S242" i="53" s="1"/>
  <c r="I242" i="53" s="1"/>
  <c r="Q242" i="53"/>
  <c r="P239" i="53"/>
  <c r="P242" i="53" s="1"/>
  <c r="T225" i="53"/>
  <c r="E223" i="53"/>
  <c r="S206" i="53" a="1"/>
  <c r="S206" i="53" s="1"/>
  <c r="I206" i="53" s="1"/>
  <c r="R206" i="53"/>
  <c r="Q206" i="53"/>
  <c r="S205" i="53" a="1"/>
  <c r="S205" i="53" s="1"/>
  <c r="I205" i="53" s="1"/>
  <c r="R204" i="53"/>
  <c r="S203" i="53" a="1"/>
  <c r="S203" i="53" s="1"/>
  <c r="I203" i="53" s="1"/>
  <c r="R203" i="53"/>
  <c r="Q203" i="53"/>
  <c r="R202" i="53"/>
  <c r="Q202" i="53"/>
  <c r="S199" i="53" a="1"/>
  <c r="S199" i="53" s="1"/>
  <c r="I199" i="53" s="1"/>
  <c r="Q199" i="53"/>
  <c r="S198" i="53" a="1"/>
  <c r="S198" i="53" s="1"/>
  <c r="I198" i="53" s="1"/>
  <c r="R198" i="53"/>
  <c r="Q198" i="53"/>
  <c r="S197" i="53" a="1"/>
  <c r="S197" i="53" s="1"/>
  <c r="I197" i="53" s="1"/>
  <c r="R197" i="53"/>
  <c r="Q197" i="53"/>
  <c r="S196" i="53"/>
  <c r="I196" i="53" s="1"/>
  <c r="S196" i="53" a="1"/>
  <c r="Q196" i="53"/>
  <c r="S191" i="53" a="1"/>
  <c r="S191" i="53" s="1"/>
  <c r="I191" i="53" s="1"/>
  <c r="R191" i="53"/>
  <c r="Q191" i="53"/>
  <c r="S190" i="53" a="1"/>
  <c r="S190" i="53" s="1"/>
  <c r="I190" i="53" s="1"/>
  <c r="R190" i="53"/>
  <c r="Q190" i="53"/>
  <c r="S187" i="53" a="1"/>
  <c r="S187" i="53" s="1"/>
  <c r="I187" i="53" s="1"/>
  <c r="Q187" i="53"/>
  <c r="P184" i="53"/>
  <c r="P187" i="53" s="1"/>
  <c r="T170" i="53"/>
  <c r="E168" i="53"/>
  <c r="S151" i="53" a="1"/>
  <c r="S151" i="53" s="1"/>
  <c r="I151" i="53" s="1"/>
  <c r="R151" i="53"/>
  <c r="Q151" i="53"/>
  <c r="S150" i="53" a="1"/>
  <c r="S150" i="53" s="1"/>
  <c r="I150" i="53" s="1"/>
  <c r="R149" i="53"/>
  <c r="S148" i="53" a="1"/>
  <c r="S148" i="53" s="1"/>
  <c r="I148" i="53" s="1"/>
  <c r="R148" i="53"/>
  <c r="Q148" i="53"/>
  <c r="R147" i="53"/>
  <c r="Q147" i="53"/>
  <c r="S144" i="53" a="1"/>
  <c r="S144" i="53" s="1"/>
  <c r="I144" i="53" s="1"/>
  <c r="Q144" i="53"/>
  <c r="S143" i="53" a="1"/>
  <c r="S143" i="53" s="1"/>
  <c r="I143" i="53" s="1"/>
  <c r="R143" i="53"/>
  <c r="Q143" i="53"/>
  <c r="S142" i="53" a="1"/>
  <c r="S142" i="53" s="1"/>
  <c r="I142" i="53" s="1"/>
  <c r="R142" i="53"/>
  <c r="Q142" i="53"/>
  <c r="S141" i="53" a="1"/>
  <c r="S141" i="53" s="1"/>
  <c r="I141" i="53" s="1"/>
  <c r="Q141" i="53"/>
  <c r="S136" i="53" a="1"/>
  <c r="S136" i="53" s="1"/>
  <c r="I136" i="53" s="1"/>
  <c r="R136" i="53"/>
  <c r="Q136" i="53"/>
  <c r="S135" i="53" a="1"/>
  <c r="S135" i="53" s="1"/>
  <c r="I135" i="53" s="1"/>
  <c r="R135" i="53"/>
  <c r="Q135" i="53"/>
  <c r="S132" i="53" a="1"/>
  <c r="S132" i="53" s="1"/>
  <c r="I132" i="53" s="1"/>
  <c r="Q132" i="53"/>
  <c r="P129" i="53"/>
  <c r="P132" i="53" s="1"/>
  <c r="T115" i="53"/>
  <c r="E113" i="53"/>
  <c r="S96" i="53" a="1"/>
  <c r="S96" i="53" s="1"/>
  <c r="I96" i="53" s="1"/>
  <c r="R96" i="53"/>
  <c r="Q96" i="53"/>
  <c r="S95" i="53" a="1"/>
  <c r="S95" i="53" s="1"/>
  <c r="I95" i="53" s="1"/>
  <c r="R94" i="53"/>
  <c r="S93" i="53" a="1"/>
  <c r="S93" i="53" s="1"/>
  <c r="I93" i="53" s="1"/>
  <c r="R93" i="53"/>
  <c r="Q93" i="53"/>
  <c r="R92" i="53"/>
  <c r="Q92" i="53"/>
  <c r="S89" i="53" a="1"/>
  <c r="S89" i="53" s="1"/>
  <c r="I89" i="53" s="1"/>
  <c r="Q89" i="53"/>
  <c r="S88" i="53" a="1"/>
  <c r="S88" i="53" s="1"/>
  <c r="I88" i="53" s="1"/>
  <c r="R88" i="53"/>
  <c r="Q88" i="53"/>
  <c r="S87" i="53" a="1"/>
  <c r="S87" i="53" s="1"/>
  <c r="I87" i="53" s="1"/>
  <c r="R87" i="53"/>
  <c r="Q87" i="53"/>
  <c r="S86" i="53" a="1"/>
  <c r="S86" i="53" s="1"/>
  <c r="I86" i="53" s="1"/>
  <c r="Q86" i="53"/>
  <c r="S81" i="53" a="1"/>
  <c r="S81" i="53" s="1"/>
  <c r="I81" i="53" s="1"/>
  <c r="R81" i="53"/>
  <c r="Q81" i="53"/>
  <c r="S80" i="53" a="1"/>
  <c r="S80" i="53" s="1"/>
  <c r="I80" i="53" s="1"/>
  <c r="R80" i="53"/>
  <c r="Q80" i="53"/>
  <c r="S77" i="53" a="1"/>
  <c r="S77" i="53" s="1"/>
  <c r="I77" i="53" s="1"/>
  <c r="Q77" i="53"/>
  <c r="P74" i="53"/>
  <c r="P110" i="53" s="1"/>
  <c r="T60" i="53"/>
  <c r="S40" i="53" a="1"/>
  <c r="S40" i="53" s="1"/>
  <c r="I40" i="53" s="1"/>
  <c r="E31" i="43"/>
  <c r="P19" i="53"/>
  <c r="P22" i="53" s="1"/>
  <c r="R59" i="32" l="1"/>
  <c r="S34" i="55" a="1"/>
  <c r="S34" i="55" s="1"/>
  <c r="I34" i="55" s="1"/>
  <c r="I54" i="32"/>
  <c r="T59" i="32"/>
  <c r="S44" i="32" a="1"/>
  <c r="S44" i="32" s="1"/>
  <c r="R68" i="32"/>
  <c r="P163" i="32"/>
  <c r="P40" i="32"/>
  <c r="S45" i="32" a="1"/>
  <c r="S45" i="32" s="1"/>
  <c r="I45" i="32" s="1"/>
  <c r="T46" i="32"/>
  <c r="P21" i="32"/>
  <c r="T58" i="32"/>
  <c r="R29" i="32"/>
  <c r="T29" i="32" s="1"/>
  <c r="T48" i="32" s="1"/>
  <c r="P182" i="32"/>
  <c r="T31" i="32"/>
  <c r="R64" i="32"/>
  <c r="P92" i="32"/>
  <c r="P70" i="32"/>
  <c r="S47" i="32" a="1"/>
  <c r="S47" i="32" s="1"/>
  <c r="I47" i="32" s="1"/>
  <c r="P111" i="32"/>
  <c r="R138" i="32"/>
  <c r="T102" i="32"/>
  <c r="T101" i="32"/>
  <c r="T119" i="32" s="1"/>
  <c r="R136" i="32" s="1"/>
  <c r="F98" i="32"/>
  <c r="E100" i="32" s="1"/>
  <c r="R135" i="32"/>
  <c r="R100" i="32"/>
  <c r="T100" i="32" s="1"/>
  <c r="S115" i="32" a="1"/>
  <c r="S115" i="32" s="1"/>
  <c r="T130" i="32"/>
  <c r="R139" i="32"/>
  <c r="P141" i="32"/>
  <c r="E231" i="32"/>
  <c r="T129" i="32"/>
  <c r="P283" i="32"/>
  <c r="P234" i="32"/>
  <c r="I125" i="32"/>
  <c r="S188" i="32" a="1"/>
  <c r="S188" i="32" s="1"/>
  <c r="I188" i="32" s="1"/>
  <c r="T189" i="32"/>
  <c r="R169" i="32"/>
  <c r="F169" i="32" s="1"/>
  <c r="E171" i="32" s="1"/>
  <c r="T243" i="32"/>
  <c r="T261" i="32" s="1"/>
  <c r="R278" i="32" s="1"/>
  <c r="T244" i="32"/>
  <c r="S259" i="32" a="1"/>
  <c r="S259" i="32" s="1"/>
  <c r="I259" i="32" s="1"/>
  <c r="T329" i="32"/>
  <c r="S332" i="32" a="1"/>
  <c r="S332" i="32" s="1"/>
  <c r="I332" i="32" s="1"/>
  <c r="S330" i="32" a="1"/>
  <c r="S330" i="32" s="1"/>
  <c r="I330" i="32" s="1"/>
  <c r="S329" i="32" a="1"/>
  <c r="S329" i="32" s="1"/>
  <c r="I329" i="32" s="1"/>
  <c r="R311" i="32"/>
  <c r="I338" i="32"/>
  <c r="T314" i="32"/>
  <c r="F311" i="32"/>
  <c r="E313" i="32" s="1"/>
  <c r="R313" i="32"/>
  <c r="T313" i="32" s="1"/>
  <c r="T315" i="32"/>
  <c r="P324" i="32"/>
  <c r="T330" i="32"/>
  <c r="R342" i="32"/>
  <c r="R348" i="32" s="1"/>
  <c r="P305" i="32"/>
  <c r="P354" i="32"/>
  <c r="E242" i="32"/>
  <c r="R242" i="32"/>
  <c r="T242" i="32" s="1"/>
  <c r="T260" i="32"/>
  <c r="S258" i="32" a="1"/>
  <c r="S258" i="32" s="1"/>
  <c r="I258" i="32" s="1"/>
  <c r="R271" i="32"/>
  <c r="S186" i="32" a="1"/>
  <c r="S186" i="32" s="1"/>
  <c r="T201" i="32"/>
  <c r="I196" i="32"/>
  <c r="P212" i="32"/>
  <c r="T187" i="32"/>
  <c r="S189" i="32" a="1"/>
  <c r="S189" i="32" s="1"/>
  <c r="I189" i="32" s="1"/>
  <c r="T200" i="32"/>
  <c r="T222" i="53" a="1"/>
  <c r="T222" i="53" s="1"/>
  <c r="T112" i="53" a="1"/>
  <c r="T112" i="53" s="1"/>
  <c r="T277" i="53" a="1"/>
  <c r="T277" i="53" s="1"/>
  <c r="E74" i="53"/>
  <c r="P77" i="53"/>
  <c r="X42" i="10"/>
  <c r="X43" i="10"/>
  <c r="R264" i="53"/>
  <c r="R265" i="53" s="1"/>
  <c r="S257" i="53" s="1" a="1"/>
  <c r="S257" i="53" s="1"/>
  <c r="I257" i="53" s="1"/>
  <c r="T167" i="53" a="1"/>
  <c r="T167" i="53" s="1"/>
  <c r="R154" i="53"/>
  <c r="R155" i="53" s="1"/>
  <c r="S147" i="53" s="1" a="1"/>
  <c r="S147" i="53" s="1"/>
  <c r="I147" i="53" s="1"/>
  <c r="R99" i="53"/>
  <c r="R100" i="53" s="1"/>
  <c r="P275" i="53"/>
  <c r="E239" i="53"/>
  <c r="P251" i="53"/>
  <c r="P220" i="53"/>
  <c r="E184" i="53"/>
  <c r="P196" i="53"/>
  <c r="R209" i="53"/>
  <c r="R210" i="53" s="1"/>
  <c r="P165" i="53"/>
  <c r="E129" i="53"/>
  <c r="P141" i="53"/>
  <c r="P86" i="53"/>
  <c r="E19" i="53"/>
  <c r="P55" i="53"/>
  <c r="E14" i="43"/>
  <c r="P31" i="53"/>
  <c r="R39" i="53"/>
  <c r="E29" i="43"/>
  <c r="E3" i="24"/>
  <c r="R124" i="55"/>
  <c r="R92" i="24" a="1"/>
  <c r="R92" i="24" s="1"/>
  <c r="R51" i="24" a="1"/>
  <c r="R51" i="24" s="1"/>
  <c r="I51" i="24" s="1"/>
  <c r="E73" i="24"/>
  <c r="P70" i="24"/>
  <c r="S56" i="24"/>
  <c r="S65" i="24" s="1"/>
  <c r="R56" i="24" a="1"/>
  <c r="R56" i="24" s="1"/>
  <c r="I56" i="24" s="1"/>
  <c r="P56" i="24"/>
  <c r="S55" i="24"/>
  <c r="T55" i="24" s="1"/>
  <c r="R55" i="24" a="1"/>
  <c r="R55" i="24" s="1"/>
  <c r="P55" i="24"/>
  <c r="Q51" i="24"/>
  <c r="P51" i="24"/>
  <c r="E22" i="26"/>
  <c r="E21" i="26"/>
  <c r="R19" i="24" a="1"/>
  <c r="R19" i="24" s="1"/>
  <c r="H28" i="26"/>
  <c r="G28" i="26"/>
  <c r="W43" i="10" l="1"/>
  <c r="W42" i="10" s="1"/>
  <c r="R65" i="32"/>
  <c r="S73" i="32"/>
  <c r="S74" i="32" s="1"/>
  <c r="I44" i="32"/>
  <c r="R70" i="32"/>
  <c r="R56" i="32" s="1" a="1"/>
  <c r="R56" i="32" s="1"/>
  <c r="R66" i="32"/>
  <c r="R67" i="32"/>
  <c r="I115" i="32"/>
  <c r="S144" i="32"/>
  <c r="R137" i="32"/>
  <c r="R141" i="32"/>
  <c r="R127" i="32" s="1" a="1"/>
  <c r="R127" i="32" s="1"/>
  <c r="R171" i="32"/>
  <c r="T171" i="32" s="1"/>
  <c r="R206" i="32"/>
  <c r="T173" i="32"/>
  <c r="T172" i="32"/>
  <c r="T332" i="32"/>
  <c r="R349" i="32" s="1"/>
  <c r="R343" i="32"/>
  <c r="T342" i="32"/>
  <c r="T271" i="32"/>
  <c r="R272" i="32"/>
  <c r="R277" i="32"/>
  <c r="S215" i="32"/>
  <c r="I186" i="32"/>
  <c r="T154" i="53" a="1"/>
  <c r="T154" i="53" s="1"/>
  <c r="R160" i="53"/>
  <c r="R161" i="53" s="1"/>
  <c r="T264" i="53" a="1"/>
  <c r="T264" i="53" s="1"/>
  <c r="R270" i="53"/>
  <c r="R271" i="53" s="1"/>
  <c r="T99" i="53" a="1"/>
  <c r="T99" i="53" s="1"/>
  <c r="R105" i="53"/>
  <c r="R107" i="53" s="1"/>
  <c r="R110" i="53" s="1"/>
  <c r="T265" i="53"/>
  <c r="T279" i="53"/>
  <c r="R215" i="53"/>
  <c r="T209" i="53" a="1"/>
  <c r="T209" i="53" s="1"/>
  <c r="S202" i="53" a="1"/>
  <c r="S202" i="53" s="1"/>
  <c r="I202" i="53" s="1"/>
  <c r="T210" i="53"/>
  <c r="T224" i="53"/>
  <c r="T155" i="53"/>
  <c r="T169" i="53"/>
  <c r="S92" i="53" a="1"/>
  <c r="S92" i="53" s="1"/>
  <c r="I92" i="53" s="1"/>
  <c r="T100" i="53"/>
  <c r="T114" i="53"/>
  <c r="F17" i="43"/>
  <c r="E15" i="43"/>
  <c r="F15" i="43"/>
  <c r="E18" i="43"/>
  <c r="F14" i="43"/>
  <c r="E16" i="43"/>
  <c r="F18" i="43"/>
  <c r="F16" i="43"/>
  <c r="E17" i="43"/>
  <c r="Q65" i="24" a="1"/>
  <c r="Q65" i="24" s="1"/>
  <c r="Q60" i="24" a="1"/>
  <c r="Q60" i="24" s="1"/>
  <c r="Q61" i="24" s="1"/>
  <c r="Q59" i="24"/>
  <c r="I92" i="24"/>
  <c r="P61" i="24"/>
  <c r="E61" i="24" s="1"/>
  <c r="P66" i="24"/>
  <c r="Q47" i="24" a="1"/>
  <c r="Q47" i="24" s="1"/>
  <c r="S60" i="24"/>
  <c r="P60" i="24" s="1"/>
  <c r="E60" i="24" s="1"/>
  <c r="I55" i="24"/>
  <c r="P67" i="24"/>
  <c r="P65" i="24"/>
  <c r="R60" i="24"/>
  <c r="E63" i="24" s="1"/>
  <c r="P62" i="24"/>
  <c r="E62" i="24" s="1"/>
  <c r="R85" i="55"/>
  <c r="R84" i="55"/>
  <c r="V91" i="55" s="1" a="1"/>
  <c r="V91" i="55" s="1"/>
  <c r="R57" i="55"/>
  <c r="R30" i="55"/>
  <c r="R29" i="55"/>
  <c r="R147" i="55"/>
  <c r="E152" i="55"/>
  <c r="E41" i="55"/>
  <c r="E63" i="55"/>
  <c r="E102" i="55"/>
  <c r="R20" i="24" a="1"/>
  <c r="R20" i="24" s="1"/>
  <c r="E54" i="52"/>
  <c r="E21" i="43"/>
  <c r="R146" i="55"/>
  <c r="E146" i="24"/>
  <c r="E114" i="24"/>
  <c r="E37" i="24"/>
  <c r="I33" i="26"/>
  <c r="I34" i="26"/>
  <c r="I35" i="26"/>
  <c r="I44" i="26"/>
  <c r="I43" i="26"/>
  <c r="I42" i="26"/>
  <c r="S38" i="53" a="1"/>
  <c r="S38" i="53" s="1"/>
  <c r="S26" i="53" a="1"/>
  <c r="S26" i="53" s="1"/>
  <c r="S25" i="53" a="1"/>
  <c r="S25" i="53" s="1"/>
  <c r="E58" i="53"/>
  <c r="R120" i="55"/>
  <c r="R116" i="55"/>
  <c r="V116" i="55"/>
  <c r="V113" i="55" s="1"/>
  <c r="U116" i="55"/>
  <c r="U113" i="55" s="1"/>
  <c r="E31" i="52"/>
  <c r="J46" i="52"/>
  <c r="J50" i="52"/>
  <c r="J49" i="52"/>
  <c r="J48" i="52"/>
  <c r="J47" i="52"/>
  <c r="J27" i="52"/>
  <c r="J24" i="52"/>
  <c r="J23" i="52"/>
  <c r="E131" i="55"/>
  <c r="U84" i="55" l="1"/>
  <c r="U91" i="55"/>
  <c r="K41" i="10"/>
  <c r="K42" i="10"/>
  <c r="S67" i="32" a="1"/>
  <c r="S67" i="32" s="1"/>
  <c r="I67" i="32" s="1"/>
  <c r="S59" i="32" a="1"/>
  <c r="S59" i="32" s="1"/>
  <c r="I59" i="32" s="1"/>
  <c r="F66" i="32"/>
  <c r="T66" i="32" s="1"/>
  <c r="F58" i="32"/>
  <c r="F59" i="32"/>
  <c r="S66" i="32" a="1"/>
  <c r="S66" i="32" s="1"/>
  <c r="I66" i="32" s="1"/>
  <c r="S58" i="32" a="1"/>
  <c r="S58" i="32" s="1"/>
  <c r="I58" i="32" s="1"/>
  <c r="S68" i="32" a="1"/>
  <c r="S68" i="32" s="1"/>
  <c r="I68" i="32" s="1"/>
  <c r="S64" i="32" a="1"/>
  <c r="S64" i="32" s="1"/>
  <c r="I64" i="32" s="1"/>
  <c r="F67" i="32"/>
  <c r="S65" i="32" a="1"/>
  <c r="S65" i="32" s="1"/>
  <c r="I65" i="32" s="1"/>
  <c r="F68" i="32"/>
  <c r="F64" i="32"/>
  <c r="F70" i="32"/>
  <c r="F65" i="32"/>
  <c r="T65" i="32" s="1"/>
  <c r="J74" i="32"/>
  <c r="J73" i="32"/>
  <c r="S138" i="32" a="1"/>
  <c r="S138" i="32" s="1"/>
  <c r="I138" i="32" s="1"/>
  <c r="S130" i="32" a="1"/>
  <c r="S130" i="32" s="1"/>
  <c r="I130" i="32" s="1"/>
  <c r="F137" i="32"/>
  <c r="T137" i="32" s="1"/>
  <c r="F129" i="32"/>
  <c r="F141" i="32"/>
  <c r="F136" i="32"/>
  <c r="T136" i="32" s="1"/>
  <c r="S139" i="32" a="1"/>
  <c r="S139" i="32" s="1"/>
  <c r="I139" i="32" s="1"/>
  <c r="S135" i="32" a="1"/>
  <c r="S135" i="32" s="1"/>
  <c r="I135" i="32" s="1"/>
  <c r="F138" i="32"/>
  <c r="F130" i="32"/>
  <c r="S136" i="32" a="1"/>
  <c r="S136" i="32" s="1"/>
  <c r="I136" i="32" s="1"/>
  <c r="F139" i="32"/>
  <c r="T139" i="32" s="1"/>
  <c r="F135" i="32"/>
  <c r="S137" i="32" a="1"/>
  <c r="S137" i="32" s="1"/>
  <c r="I137" i="32" s="1"/>
  <c r="S129" i="32" a="1"/>
  <c r="S129" i="32" s="1"/>
  <c r="I129" i="32" s="1"/>
  <c r="J145" i="32"/>
  <c r="J144" i="32"/>
  <c r="T190" i="32"/>
  <c r="R207" i="32" s="1"/>
  <c r="R208" i="32" s="1"/>
  <c r="T343" i="32"/>
  <c r="S328" i="32" a="1"/>
  <c r="S328" i="32" s="1"/>
  <c r="R350" i="32"/>
  <c r="R279" i="32"/>
  <c r="R283" i="32" s="1"/>
  <c r="R280" i="32"/>
  <c r="R281" i="32"/>
  <c r="T272" i="32"/>
  <c r="S257" i="32" a="1"/>
  <c r="S257" i="32" s="1"/>
  <c r="R209" i="32"/>
  <c r="R210" i="32" s="1"/>
  <c r="S216" i="32"/>
  <c r="J215" i="32" s="1"/>
  <c r="R106" i="53"/>
  <c r="R108" i="53" s="1"/>
  <c r="R98" i="53" a="1"/>
  <c r="R98" i="53" s="1"/>
  <c r="S100" i="53" s="1" a="1"/>
  <c r="S100" i="53" s="1"/>
  <c r="I100" i="53" s="1"/>
  <c r="U279" i="53" a="1"/>
  <c r="U279" i="53" s="1"/>
  <c r="S279" i="53" s="1"/>
  <c r="U280" i="53" a="1"/>
  <c r="U280" i="53" s="1"/>
  <c r="S280" i="53" s="1"/>
  <c r="U278" i="53"/>
  <c r="S278" i="53" s="1"/>
  <c r="R272" i="53"/>
  <c r="R273" i="53" s="1"/>
  <c r="U224" i="53" a="1"/>
  <c r="U224" i="53" s="1"/>
  <c r="S224" i="53" s="1"/>
  <c r="U223" i="53"/>
  <c r="S223" i="53" s="1"/>
  <c r="U225" i="53" a="1"/>
  <c r="U225" i="53" s="1"/>
  <c r="S225" i="53" s="1"/>
  <c r="R216" i="53"/>
  <c r="R162" i="53"/>
  <c r="R163" i="53" s="1"/>
  <c r="U169" i="53" a="1"/>
  <c r="U169" i="53" s="1"/>
  <c r="S169" i="53" s="1"/>
  <c r="U170" i="53" a="1"/>
  <c r="U170" i="53" s="1"/>
  <c r="S170" i="53" s="1"/>
  <c r="U168" i="53"/>
  <c r="S168" i="53" s="1"/>
  <c r="U114" i="53" a="1"/>
  <c r="U114" i="53" s="1"/>
  <c r="S114" i="53" s="1"/>
  <c r="U113" i="53"/>
  <c r="S113" i="53" s="1"/>
  <c r="U115" i="53" a="1"/>
  <c r="U115" i="53" s="1"/>
  <c r="S115" i="53" s="1"/>
  <c r="F61" i="24"/>
  <c r="T56" i="24"/>
  <c r="Q66" i="24" s="1"/>
  <c r="Q67" i="24"/>
  <c r="Q62" i="24" a="1"/>
  <c r="Q62" i="24" s="1"/>
  <c r="F62" i="24" s="1"/>
  <c r="F60" i="24"/>
  <c r="Q63" i="24"/>
  <c r="J52" i="52"/>
  <c r="R125" i="55"/>
  <c r="T125" i="55"/>
  <c r="Q125" i="55" s="1"/>
  <c r="R121" i="55"/>
  <c r="T121" i="55"/>
  <c r="R112" i="55" a="1"/>
  <c r="R112" i="55" s="1"/>
  <c r="R122" i="55" s="1"/>
  <c r="R32" i="55"/>
  <c r="S35" i="55" a="1"/>
  <c r="S35" i="55" s="1"/>
  <c r="I35" i="55" s="1"/>
  <c r="E24" i="43"/>
  <c r="E23" i="43"/>
  <c r="E22" i="43"/>
  <c r="R35" i="55"/>
  <c r="Q35" i="55"/>
  <c r="Q33" i="55"/>
  <c r="Q32" i="55"/>
  <c r="S57" i="55" a="1"/>
  <c r="S57" i="55" s="1"/>
  <c r="Q57" i="55"/>
  <c r="S56" i="55" a="1"/>
  <c r="S56" i="55" s="1"/>
  <c r="I56" i="55" s="1"/>
  <c r="R56" i="55"/>
  <c r="Q56" i="55"/>
  <c r="S55" i="55" a="1"/>
  <c r="S55" i="55" s="1"/>
  <c r="R55" i="55"/>
  <c r="Q55" i="55"/>
  <c r="S30" i="55" a="1"/>
  <c r="S30" i="55" s="1"/>
  <c r="I30" i="55" s="1"/>
  <c r="Q30" i="55"/>
  <c r="S29" i="55" a="1"/>
  <c r="S29" i="55" s="1"/>
  <c r="Q29" i="55"/>
  <c r="S28" i="55" a="1"/>
  <c r="S28" i="55" s="1"/>
  <c r="Q28" i="55"/>
  <c r="U120" i="55"/>
  <c r="I28" i="55" l="1"/>
  <c r="R27" i="55"/>
  <c r="I29" i="55"/>
  <c r="T64" i="32"/>
  <c r="T68" i="32"/>
  <c r="T67" i="32"/>
  <c r="T135" i="32"/>
  <c r="T138" i="32"/>
  <c r="J216" i="32"/>
  <c r="S357" i="32"/>
  <c r="I328" i="32"/>
  <c r="R351" i="32"/>
  <c r="R269" i="32" a="1"/>
  <c r="R269" i="32" s="1"/>
  <c r="S286" i="32"/>
  <c r="I257" i="32"/>
  <c r="R212" i="32"/>
  <c r="R198" i="32" s="1" a="1"/>
  <c r="R198" i="32" s="1"/>
  <c r="J168" i="53"/>
  <c r="J169" i="53"/>
  <c r="J113" i="53"/>
  <c r="J114" i="53"/>
  <c r="J224" i="53"/>
  <c r="J223" i="53"/>
  <c r="R54" i="55"/>
  <c r="I32" i="55"/>
  <c r="J279" i="53"/>
  <c r="J278" i="53"/>
  <c r="F99" i="53"/>
  <c r="S99" i="53" a="1"/>
  <c r="S99" i="53" s="1"/>
  <c r="I99" i="53" s="1"/>
  <c r="S107" i="53" a="1"/>
  <c r="S107" i="53" s="1"/>
  <c r="I107" i="53" s="1"/>
  <c r="F108" i="53"/>
  <c r="S105" i="53" a="1"/>
  <c r="S105" i="53" s="1"/>
  <c r="I105" i="53" s="1"/>
  <c r="F107" i="53"/>
  <c r="F106" i="53"/>
  <c r="F100" i="53"/>
  <c r="F105" i="53"/>
  <c r="T105" i="53" s="1"/>
  <c r="F110" i="53"/>
  <c r="S108" i="53" a="1"/>
  <c r="S108" i="53" s="1"/>
  <c r="I108" i="53" s="1"/>
  <c r="S106" i="53" a="1"/>
  <c r="S106" i="53" s="1"/>
  <c r="I106" i="53" s="1"/>
  <c r="R275" i="53"/>
  <c r="R263" i="53" s="1" a="1"/>
  <c r="R263" i="53" s="1"/>
  <c r="R217" i="53"/>
  <c r="R218" i="53" s="1"/>
  <c r="R165" i="53"/>
  <c r="R153" i="53" s="1" a="1"/>
  <c r="R153" i="53" s="1"/>
  <c r="G15" i="43"/>
  <c r="Q70" i="24"/>
  <c r="F70" i="24" s="1"/>
  <c r="G29" i="43" s="1"/>
  <c r="I57" i="55"/>
  <c r="R65" i="24"/>
  <c r="E68" i="24" s="1"/>
  <c r="E65" i="24" a="1"/>
  <c r="E65" i="24" s="1"/>
  <c r="I55" i="55"/>
  <c r="E25" i="43"/>
  <c r="D20" i="43"/>
  <c r="C20" i="43"/>
  <c r="S147" i="55" a="1"/>
  <c r="S147" i="55" s="1"/>
  <c r="I147" i="55" s="1"/>
  <c r="S146" i="55" a="1"/>
  <c r="S146" i="55" s="1"/>
  <c r="I146" i="55" s="1"/>
  <c r="S145" i="55" a="1"/>
  <c r="S145" i="55" s="1"/>
  <c r="I145" i="55" s="1"/>
  <c r="Q147" i="55"/>
  <c r="Q146" i="55"/>
  <c r="Q145" i="55"/>
  <c r="T85" i="55"/>
  <c r="T84" i="55"/>
  <c r="S116" i="55" a="1"/>
  <c r="S116" i="55" s="1"/>
  <c r="Q116" i="55"/>
  <c r="Q128" i="55"/>
  <c r="E30" i="43"/>
  <c r="E28" i="43"/>
  <c r="D27" i="43"/>
  <c r="C27" i="43"/>
  <c r="D33" i="43"/>
  <c r="C33" i="43"/>
  <c r="S31" i="53" a="1"/>
  <c r="S31" i="53" s="1"/>
  <c r="S32" i="53" a="1"/>
  <c r="S32" i="53" s="1"/>
  <c r="R32" i="53"/>
  <c r="Q99" i="55"/>
  <c r="S85" i="55" a="1"/>
  <c r="S85" i="55" s="1"/>
  <c r="I85" i="55" s="1"/>
  <c r="Q85" i="55"/>
  <c r="S84" i="55" a="1"/>
  <c r="S84" i="55" s="1"/>
  <c r="Q84" i="55"/>
  <c r="P143" i="24"/>
  <c r="S129" i="24"/>
  <c r="R129" i="24" a="1"/>
  <c r="R129" i="24" s="1"/>
  <c r="I129" i="24" s="1"/>
  <c r="P129" i="24"/>
  <c r="S128" i="24"/>
  <c r="Q133" i="24" s="1"/>
  <c r="R128" i="24" a="1"/>
  <c r="R128" i="24" s="1"/>
  <c r="P128" i="24"/>
  <c r="Q92" i="24"/>
  <c r="P92" i="24"/>
  <c r="P111" i="24"/>
  <c r="S97" i="24"/>
  <c r="R97" i="24" a="1"/>
  <c r="R97" i="24" s="1"/>
  <c r="I97" i="24" s="1"/>
  <c r="P97" i="24"/>
  <c r="S96" i="24"/>
  <c r="R96" i="24" a="1"/>
  <c r="R96" i="24" s="1"/>
  <c r="P96" i="24"/>
  <c r="S20" i="24"/>
  <c r="P34" i="24"/>
  <c r="I20" i="24"/>
  <c r="S19" i="24"/>
  <c r="E3" i="32"/>
  <c r="I19" i="24"/>
  <c r="P20" i="24"/>
  <c r="P19" i="24"/>
  <c r="E3" i="52"/>
  <c r="D37" i="43"/>
  <c r="C37" i="43"/>
  <c r="D13" i="43"/>
  <c r="C13" i="43"/>
  <c r="D6" i="43"/>
  <c r="C6" i="43"/>
  <c r="J26" i="52"/>
  <c r="J25" i="52"/>
  <c r="R37" i="55" l="1"/>
  <c r="F37" i="55" s="1"/>
  <c r="G21" i="43" s="1"/>
  <c r="S358" i="32"/>
  <c r="J357" i="32" s="1"/>
  <c r="R352" i="32"/>
  <c r="R354" i="32" s="1"/>
  <c r="R340" i="32" s="1" a="1"/>
  <c r="R340" i="32" s="1"/>
  <c r="J287" i="32"/>
  <c r="S287" i="32"/>
  <c r="J286" i="32" s="1"/>
  <c r="S281" i="32" a="1"/>
  <c r="S281" i="32" s="1"/>
  <c r="I281" i="32" s="1"/>
  <c r="S277" i="32" a="1"/>
  <c r="S277" i="32" s="1"/>
  <c r="I277" i="32" s="1"/>
  <c r="F280" i="32"/>
  <c r="F272" i="32"/>
  <c r="F281" i="32"/>
  <c r="S278" i="32" a="1"/>
  <c r="S278" i="32" s="1"/>
  <c r="I278" i="32" s="1"/>
  <c r="S271" i="32" a="1"/>
  <c r="S271" i="32" s="1"/>
  <c r="I271" i="32" s="1"/>
  <c r="F277" i="32"/>
  <c r="T277" i="32" s="1"/>
  <c r="S279" i="32" a="1"/>
  <c r="S279" i="32" s="1"/>
  <c r="I279" i="32" s="1"/>
  <c r="F283" i="32"/>
  <c r="F278" i="32"/>
  <c r="T278" i="32" s="1"/>
  <c r="S280" i="32" a="1"/>
  <c r="S280" i="32" s="1"/>
  <c r="I280" i="32" s="1"/>
  <c r="S272" i="32" a="1"/>
  <c r="S272" i="32" s="1"/>
  <c r="I272" i="32" s="1"/>
  <c r="F279" i="32"/>
  <c r="T279" i="32" s="1"/>
  <c r="F271" i="32"/>
  <c r="S209" i="32" a="1"/>
  <c r="S209" i="32" s="1"/>
  <c r="I209" i="32" s="1"/>
  <c r="S201" i="32" a="1"/>
  <c r="S201" i="32" s="1"/>
  <c r="I201" i="32" s="1"/>
  <c r="S207" i="32" a="1"/>
  <c r="S207" i="32" s="1"/>
  <c r="I207" i="32" s="1"/>
  <c r="F208" i="32"/>
  <c r="T208" i="32" s="1"/>
  <c r="F200" i="32"/>
  <c r="F201" i="32"/>
  <c r="S210" i="32" a="1"/>
  <c r="S210" i="32" s="1"/>
  <c r="I210" i="32" s="1"/>
  <c r="S206" i="32" a="1"/>
  <c r="S206" i="32" s="1"/>
  <c r="I206" i="32" s="1"/>
  <c r="F209" i="32"/>
  <c r="F207" i="32"/>
  <c r="T207" i="32" s="1"/>
  <c r="F210" i="32"/>
  <c r="F206" i="32"/>
  <c r="T206" i="32" s="1"/>
  <c r="S208" i="32" a="1"/>
  <c r="S208" i="32" s="1"/>
  <c r="I208" i="32" s="1"/>
  <c r="S200" i="32" a="1"/>
  <c r="S200" i="32" s="1"/>
  <c r="I200" i="32" s="1"/>
  <c r="F212" i="32"/>
  <c r="T107" i="53"/>
  <c r="T106" i="53"/>
  <c r="T108" i="53"/>
  <c r="F271" i="53"/>
  <c r="S264" i="53" a="1"/>
  <c r="S264" i="53" s="1"/>
  <c r="I264" i="53" s="1"/>
  <c r="S265" i="53" a="1"/>
  <c r="S265" i="53" s="1"/>
  <c r="I265" i="53" s="1"/>
  <c r="F275" i="53"/>
  <c r="F272" i="53"/>
  <c r="F264" i="53"/>
  <c r="F273" i="53"/>
  <c r="F265" i="53"/>
  <c r="F270" i="53"/>
  <c r="R220" i="53"/>
  <c r="R208" i="53" s="1" a="1"/>
  <c r="R208" i="53" s="1"/>
  <c r="S162" i="53" a="1"/>
  <c r="S162" i="53" s="1"/>
  <c r="I162" i="53" s="1"/>
  <c r="F161" i="53"/>
  <c r="S154" i="53" a="1"/>
  <c r="S154" i="53" s="1"/>
  <c r="I154" i="53" s="1"/>
  <c r="S160" i="53" a="1"/>
  <c r="S160" i="53" s="1"/>
  <c r="I160" i="53" s="1"/>
  <c r="F154" i="53"/>
  <c r="S163" i="53" a="1"/>
  <c r="S163" i="53" s="1"/>
  <c r="I163" i="53" s="1"/>
  <c r="S155" i="53" a="1"/>
  <c r="S155" i="53" s="1"/>
  <c r="I155" i="53" s="1"/>
  <c r="F162" i="53"/>
  <c r="F163" i="53"/>
  <c r="F155" i="53"/>
  <c r="S161" i="53" a="1"/>
  <c r="S161" i="53" s="1"/>
  <c r="I161" i="53" s="1"/>
  <c r="F165" i="53"/>
  <c r="G16" i="43" s="1"/>
  <c r="F160" i="53"/>
  <c r="T160" i="53" s="1"/>
  <c r="G18" i="43"/>
  <c r="J29" i="52"/>
  <c r="G34" i="43" s="1"/>
  <c r="Q95" i="55"/>
  <c r="Q94" i="55"/>
  <c r="Q96" i="55"/>
  <c r="P139" i="24"/>
  <c r="Q138" i="24"/>
  <c r="P30" i="24"/>
  <c r="Q29" i="24"/>
  <c r="P26" i="24"/>
  <c r="Q24" i="24"/>
  <c r="Q106" i="24" a="1"/>
  <c r="Q106" i="24" s="1"/>
  <c r="Q101" i="24" a="1"/>
  <c r="Q101" i="24" s="1"/>
  <c r="Q100" i="24"/>
  <c r="P107" i="24"/>
  <c r="R60" i="55"/>
  <c r="F60" i="55" s="1"/>
  <c r="G22" i="43" s="1"/>
  <c r="P134" i="24"/>
  <c r="P135" i="24"/>
  <c r="P103" i="24"/>
  <c r="P102" i="24"/>
  <c r="P25" i="24"/>
  <c r="S133" i="24"/>
  <c r="P133" i="24" s="1"/>
  <c r="S101" i="24"/>
  <c r="P101" i="24" s="1"/>
  <c r="R89" i="55"/>
  <c r="S24" i="24"/>
  <c r="P24" i="24" s="1"/>
  <c r="T94" i="55"/>
  <c r="P140" i="24"/>
  <c r="S138" i="24"/>
  <c r="P138" i="24" s="1"/>
  <c r="P108" i="24"/>
  <c r="S106" i="24"/>
  <c r="P106" i="24" s="1"/>
  <c r="S29" i="24"/>
  <c r="P29" i="24" s="1"/>
  <c r="P31" i="24"/>
  <c r="R144" i="55"/>
  <c r="R149" i="55" s="1"/>
  <c r="F149" i="55" s="1"/>
  <c r="G25" i="43" s="1"/>
  <c r="T91" i="55"/>
  <c r="Q121" i="55" a="1"/>
  <c r="Q121" i="55" s="1"/>
  <c r="R94" i="55"/>
  <c r="I116" i="55"/>
  <c r="R88" i="55"/>
  <c r="I84" i="55"/>
  <c r="S89" i="55"/>
  <c r="E92" i="55" s="1"/>
  <c r="R78" i="55" a="1"/>
  <c r="R78" i="55" s="1"/>
  <c r="T89" i="55"/>
  <c r="Q124" i="24" a="1"/>
  <c r="Q124" i="24" s="1"/>
  <c r="Q140" i="24" s="1"/>
  <c r="Q132" i="24"/>
  <c r="I128" i="24"/>
  <c r="R133" i="24"/>
  <c r="E136" i="24" s="1"/>
  <c r="T128" i="24"/>
  <c r="Q13" i="24" a="1"/>
  <c r="Q13" i="24" s="1"/>
  <c r="Q31" i="24" s="1"/>
  <c r="R101" i="24"/>
  <c r="E104" i="24" s="1"/>
  <c r="I96" i="24"/>
  <c r="T96" i="24"/>
  <c r="Q88" i="24" a="1"/>
  <c r="Q88" i="24" s="1"/>
  <c r="Q23" i="24"/>
  <c r="R24" i="24"/>
  <c r="E27" i="24" s="1"/>
  <c r="T19" i="24"/>
  <c r="I26" i="53"/>
  <c r="I25" i="53"/>
  <c r="E3" i="10"/>
  <c r="R41" i="53"/>
  <c r="R38" i="53"/>
  <c r="R37" i="53"/>
  <c r="Q37" i="53"/>
  <c r="S34" i="53" a="1"/>
  <c r="S34" i="53" s="1"/>
  <c r="I34" i="53" s="1"/>
  <c r="S41" i="53" a="1"/>
  <c r="S41" i="53" s="1"/>
  <c r="S33" i="53" a="1"/>
  <c r="S33" i="53" s="1"/>
  <c r="R33" i="53"/>
  <c r="R26" i="53"/>
  <c r="R25" i="53"/>
  <c r="Q25" i="53"/>
  <c r="F350" i="32" l="1"/>
  <c r="F342" i="32"/>
  <c r="S352" i="32" a="1"/>
  <c r="S352" i="32" s="1"/>
  <c r="I352" i="32" s="1"/>
  <c r="S348" i="32" a="1"/>
  <c r="S348" i="32" s="1"/>
  <c r="I348" i="32" s="1"/>
  <c r="F351" i="32"/>
  <c r="F343" i="32"/>
  <c r="S349" i="32" a="1"/>
  <c r="S349" i="32" s="1"/>
  <c r="I349" i="32" s="1"/>
  <c r="F352" i="32"/>
  <c r="F348" i="32"/>
  <c r="S342" i="32" a="1"/>
  <c r="S342" i="32" s="1"/>
  <c r="I342" i="32" s="1"/>
  <c r="S350" i="32" a="1"/>
  <c r="S350" i="32" s="1"/>
  <c r="I350" i="32" s="1"/>
  <c r="F354" i="32"/>
  <c r="F349" i="32"/>
  <c r="T349" i="32" s="1"/>
  <c r="S351" i="32" a="1"/>
  <c r="S351" i="32" s="1"/>
  <c r="I351" i="32" s="1"/>
  <c r="S343" i="32" a="1"/>
  <c r="S343" i="32" s="1"/>
  <c r="I343" i="32" s="1"/>
  <c r="J358" i="32"/>
  <c r="T281" i="32"/>
  <c r="T280" i="32"/>
  <c r="T209" i="32"/>
  <c r="T210" i="32"/>
  <c r="T161" i="53"/>
  <c r="T162" i="53"/>
  <c r="T273" i="53"/>
  <c r="S273" i="53" s="1" a="1"/>
  <c r="S273" i="53" s="1"/>
  <c r="I273" i="53" s="1"/>
  <c r="T271" i="53"/>
  <c r="S271" i="53" s="1" a="1"/>
  <c r="S271" i="53" s="1"/>
  <c r="I271" i="53" s="1"/>
  <c r="T272" i="53"/>
  <c r="S272" i="53" s="1" a="1"/>
  <c r="S272" i="53" s="1"/>
  <c r="I272" i="53" s="1"/>
  <c r="T270" i="53"/>
  <c r="S270" i="53" s="1" a="1"/>
  <c r="S270" i="53" s="1"/>
  <c r="I270" i="53" s="1"/>
  <c r="F220" i="53"/>
  <c r="G17" i="43" s="1"/>
  <c r="F215" i="53"/>
  <c r="T215" i="53" s="1"/>
  <c r="F216" i="53"/>
  <c r="S209" i="53" a="1"/>
  <c r="S209" i="53" s="1"/>
  <c r="I209" i="53" s="1"/>
  <c r="F218" i="53"/>
  <c r="F210" i="53"/>
  <c r="S216" i="53" a="1"/>
  <c r="S216" i="53" s="1"/>
  <c r="I216" i="53" s="1"/>
  <c r="S217" i="53" a="1"/>
  <c r="S217" i="53" s="1"/>
  <c r="I217" i="53" s="1"/>
  <c r="S218" i="53" a="1"/>
  <c r="S218" i="53" s="1"/>
  <c r="I218" i="53" s="1"/>
  <c r="S210" i="53" a="1"/>
  <c r="S210" i="53" s="1"/>
  <c r="I210" i="53" s="1"/>
  <c r="F217" i="53"/>
  <c r="S215" i="53" a="1"/>
  <c r="S215" i="53" s="1"/>
  <c r="I215" i="53" s="1"/>
  <c r="F209" i="53"/>
  <c r="T163" i="53"/>
  <c r="T57" i="53" a="1"/>
  <c r="T57" i="53" s="1"/>
  <c r="Q103" i="24" a="1"/>
  <c r="Q103" i="24" s="1"/>
  <c r="Q108" i="24"/>
  <c r="R96" i="55"/>
  <c r="R91" i="55" a="1"/>
  <c r="R91" i="55" s="1"/>
  <c r="T96" i="55"/>
  <c r="R95" i="55" s="1"/>
  <c r="U96" i="55"/>
  <c r="F91" i="55"/>
  <c r="Q91" i="55"/>
  <c r="E91" i="55" s="1"/>
  <c r="Q90" i="55"/>
  <c r="E90" i="55" s="1"/>
  <c r="Q89" i="55"/>
  <c r="E89" i="55" s="1"/>
  <c r="R90" i="55"/>
  <c r="F90" i="55" s="1"/>
  <c r="R44" i="53"/>
  <c r="Q135" i="24" a="1"/>
  <c r="Q135" i="24" s="1"/>
  <c r="F135" i="24" s="1"/>
  <c r="R92" i="55"/>
  <c r="F89" i="55"/>
  <c r="E133" i="24"/>
  <c r="T129" i="24"/>
  <c r="Q139" i="24" s="1"/>
  <c r="E135" i="24"/>
  <c r="E134" i="24"/>
  <c r="F133" i="24"/>
  <c r="Q136" i="24"/>
  <c r="Q104" i="24"/>
  <c r="E102" i="24"/>
  <c r="E103" i="24"/>
  <c r="T97" i="24"/>
  <c r="E101" i="24"/>
  <c r="E26" i="24"/>
  <c r="E25" i="24"/>
  <c r="E24" i="24"/>
  <c r="Q27" i="24"/>
  <c r="R29" i="24" s="1"/>
  <c r="E32" i="24" s="1"/>
  <c r="Q26" i="24" a="1"/>
  <c r="Q26" i="24" s="1"/>
  <c r="F26" i="24" s="1"/>
  <c r="Q34" i="53"/>
  <c r="Q33" i="53"/>
  <c r="Q32" i="53"/>
  <c r="Q31" i="53"/>
  <c r="I33" i="53"/>
  <c r="I32" i="53"/>
  <c r="I41" i="53"/>
  <c r="Q41" i="53"/>
  <c r="I38" i="53"/>
  <c r="Q38" i="53"/>
  <c r="I31" i="53"/>
  <c r="Q26" i="53"/>
  <c r="S22" i="53" a="1"/>
  <c r="S22" i="53" s="1"/>
  <c r="I22" i="53" s="1"/>
  <c r="Q22" i="53"/>
  <c r="T348" i="32" l="1"/>
  <c r="T352" i="32"/>
  <c r="T351" i="32"/>
  <c r="T350" i="32"/>
  <c r="T218" i="53"/>
  <c r="T217" i="53"/>
  <c r="T216" i="53"/>
  <c r="R99" i="55"/>
  <c r="F99" i="55" s="1"/>
  <c r="G23" i="43" s="1"/>
  <c r="S94" i="55"/>
  <c r="E97" i="55" s="1"/>
  <c r="E94" i="55" a="1"/>
  <c r="R138" i="24"/>
  <c r="E141" i="24" s="1"/>
  <c r="E138" i="24" a="1"/>
  <c r="F103" i="24"/>
  <c r="R106" i="24"/>
  <c r="E109" i="24" s="1"/>
  <c r="R50" i="53"/>
  <c r="R51" i="53" s="1"/>
  <c r="R52" i="53" s="1"/>
  <c r="T44" i="53" a="1"/>
  <c r="T44" i="53" s="1"/>
  <c r="E94" i="55" l="1"/>
  <c r="E138" i="24"/>
  <c r="R53" i="53"/>
  <c r="R55" i="53" s="1"/>
  <c r="R45" i="53"/>
  <c r="S37" i="53" s="1" a="1"/>
  <c r="S37" i="53" s="1"/>
  <c r="I37" i="53" s="1"/>
  <c r="T59" i="53" l="1"/>
  <c r="U60" i="53" s="1" a="1"/>
  <c r="U60" i="53" s="1"/>
  <c r="S60" i="53" s="1"/>
  <c r="T45" i="53"/>
  <c r="U58" i="53" l="1"/>
  <c r="S58" i="53" s="1"/>
  <c r="U59" i="53" a="1"/>
  <c r="U59" i="53" s="1"/>
  <c r="S59" i="53" s="1"/>
  <c r="R43" i="53" a="1"/>
  <c r="R43" i="53" s="1"/>
  <c r="J58" i="53" l="1"/>
  <c r="J59" i="53"/>
  <c r="F50" i="53"/>
  <c r="S45" i="53" a="1"/>
  <c r="S45" i="53" s="1"/>
  <c r="I45" i="53" s="1"/>
  <c r="S44" i="53" a="1"/>
  <c r="S44" i="53" s="1"/>
  <c r="I44" i="53" s="1"/>
  <c r="F52" i="53"/>
  <c r="F55" i="53"/>
  <c r="F45" i="53"/>
  <c r="F44" i="53"/>
  <c r="F51" i="53"/>
  <c r="F53" i="53"/>
  <c r="G14" i="43" l="1"/>
  <c r="G13" i="43" s="1"/>
  <c r="T50" i="53"/>
  <c r="S50" i="53" s="1" a="1"/>
  <c r="S50" i="53" s="1"/>
  <c r="I50" i="53" s="1"/>
  <c r="T51" i="53"/>
  <c r="S51" i="53" s="1" a="1"/>
  <c r="S51" i="53" s="1"/>
  <c r="I51" i="53" s="1"/>
  <c r="T52" i="53"/>
  <c r="S52" i="53" s="1" a="1"/>
  <c r="S52" i="53" s="1"/>
  <c r="I52" i="53" l="1"/>
  <c r="T53" i="53"/>
  <c r="S53" i="53" s="1" a="1"/>
  <c r="S53" i="53" s="1"/>
  <c r="I53" i="53" l="1"/>
  <c r="C43" i="26"/>
  <c r="E34" i="26"/>
  <c r="D34" i="26"/>
  <c r="C34" i="26"/>
  <c r="Q107" i="24" l="1"/>
  <c r="E106" i="24" s="1" a="1"/>
  <c r="E106" i="24" l="1"/>
  <c r="P35" i="10" l="1"/>
  <c r="G35" i="43" l="1"/>
  <c r="G33" i="43" l="1"/>
  <c r="P21" i="10" l="1"/>
  <c r="P33" i="10" l="1"/>
  <c r="P34" i="10"/>
  <c r="P24" i="10"/>
  <c r="P25" i="10"/>
  <c r="P23" i="10"/>
  <c r="P22" i="10" l="1"/>
  <c r="P41" i="10" l="1"/>
  <c r="G37" i="43" l="1"/>
  <c r="P42" i="10"/>
  <c r="E33" i="26"/>
  <c r="D33" i="26"/>
  <c r="C33" i="26"/>
  <c r="C42" i="26"/>
  <c r="C35" i="26" l="1"/>
  <c r="Q134" i="24"/>
  <c r="E35" i="26"/>
  <c r="C44" i="26"/>
  <c r="D35" i="26"/>
  <c r="Q25" i="24" l="1"/>
  <c r="F25" i="24" s="1"/>
  <c r="F24" i="24"/>
  <c r="Q143" i="24"/>
  <c r="F143" i="24" s="1"/>
  <c r="G31" i="43" s="1"/>
  <c r="F134" i="24"/>
  <c r="Q102" i="24"/>
  <c r="F101" i="24"/>
  <c r="F102" i="24" l="1"/>
  <c r="Q111" i="24"/>
  <c r="F111" i="24" s="1"/>
  <c r="G30" i="43" s="1"/>
  <c r="T20" i="24" l="1"/>
  <c r="Q30" i="24" s="1"/>
  <c r="Q34" i="24" l="1"/>
  <c r="F34" i="24" s="1"/>
  <c r="E29" i="24" a="1"/>
  <c r="G28" i="43" l="1"/>
  <c r="G27" i="43" s="1"/>
  <c r="E29" i="24"/>
  <c r="V111" i="55"/>
  <c r="V112" i="55"/>
  <c r="V120" i="55" l="1" a="1"/>
  <c r="V120" i="55" s="1"/>
  <c r="Q120" i="55" s="1" a="1"/>
  <c r="Q120" i="55" s="1"/>
  <c r="U124" i="55" a="1"/>
  <c r="U124" i="55" s="1"/>
  <c r="T120" i="55" l="1"/>
  <c r="S120" i="55" s="1" a="1"/>
  <c r="S120" i="55" s="1"/>
  <c r="E120" i="55"/>
  <c r="V124" i="55" a="1"/>
  <c r="V124" i="55" s="1"/>
  <c r="Q124" i="55" s="1" a="1"/>
  <c r="Q124" i="55" s="1"/>
  <c r="E124" i="55" l="1" a="1"/>
  <c r="E124" i="55" s="1"/>
  <c r="I120" i="55"/>
  <c r="T124" i="55"/>
  <c r="S124" i="55" s="1" a="1"/>
  <c r="S124" i="55" s="1"/>
  <c r="R119" i="55" s="1"/>
  <c r="R128" i="55" s="1"/>
  <c r="F125" i="55"/>
  <c r="S121" i="55" l="1"/>
  <c r="E122" i="55" s="1"/>
  <c r="S125" i="55"/>
  <c r="E126" i="55" s="1"/>
  <c r="I124" i="55"/>
  <c r="F121" i="55" l="1"/>
  <c r="F128" i="55"/>
  <c r="G24" i="43" s="1"/>
  <c r="G20" i="43" s="1"/>
  <c r="E121" i="55"/>
  <c r="E8" i="43" l="1"/>
  <c r="F7" i="43" l="1"/>
  <c r="F8" i="43"/>
  <c r="F11" i="43"/>
  <c r="F10" i="43"/>
  <c r="F9" i="43"/>
  <c r="E7" i="43"/>
  <c r="G7" i="43"/>
  <c r="E9" i="43" l="1"/>
  <c r="G8" i="43"/>
  <c r="G9" i="43"/>
  <c r="E10" i="43" l="1"/>
  <c r="G10" i="43" l="1"/>
  <c r="G11" i="43" l="1"/>
  <c r="G6" i="43" s="1"/>
  <c r="G4" i="43" s="1"/>
  <c r="E11" i="4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<sst xmlns="http://schemas.openxmlformats.org/spreadsheetml/2006/main" count="1663" uniqueCount="312">
  <si>
    <t>Slik gjør dere:</t>
  </si>
  <si>
    <t>1. Velg riktig skjema for hvert enkelt tiltak dere søker ekstratilskudd for</t>
  </si>
  <si>
    <t>2. Dersom lønnsutgiftene gjelder flere ansatte, kan dere enten registrere én beregning per person eller bruke gjennomsnittslønn</t>
  </si>
  <si>
    <t>3. Fyll ut feltene markert med grønt</t>
  </si>
  <si>
    <t>4. Dersom rød tekst vises i skjemaet, følg instruksjonene</t>
  </si>
  <si>
    <t>rød tekst</t>
  </si>
  <si>
    <t>5. Totalkostnaden vises nederst når alle obligatoriske felt er utfylt</t>
  </si>
  <si>
    <t xml:space="preserve">6. Fyll inn eventuelle tilleggsopplysninger i kommentarfeltet 
Dersom kommunen mottar andre tilskudd som delvis dekker de kostnadene dere søker om, oppgi dette i kommentarfeltet. Det kan for eksempel være tilskudd fra Bufdir, Helsedirektoratet eller IMDi. Skriv inn beløp og tidsperiode
</t>
  </si>
  <si>
    <t>Skriv kommentar</t>
  </si>
  <si>
    <r>
      <t xml:space="preserve">7. Gå til skjemaet </t>
    </r>
    <r>
      <rPr>
        <i/>
        <sz val="11"/>
        <color rgb="FF000000"/>
        <rFont val="Aptos Narrow"/>
        <family val="2"/>
      </rPr>
      <t>Oppsummering</t>
    </r>
    <r>
      <rPr>
        <sz val="11"/>
        <color rgb="FF000000"/>
        <rFont val="Aptos Narrow"/>
        <family val="2"/>
      </rPr>
      <t xml:space="preserve"> for en samlet oversikt over alle tiltakene som er registrert i kostnadsverktøyet</t>
    </r>
  </si>
  <si>
    <t>Oppsummering</t>
  </si>
  <si>
    <t>Har dere spørsmål?</t>
  </si>
  <si>
    <t>Send supportsak her</t>
  </si>
  <si>
    <t xml:space="preserve"> digtil@imdi.no</t>
  </si>
  <si>
    <t xml:space="preserve">  400 01 960 - tastevalg 4 - tirsdag til torsdag, mellom 09:00 og 11:30</t>
  </si>
  <si>
    <t>Endringer</t>
  </si>
  <si>
    <t>Begrepsliste</t>
  </si>
  <si>
    <t>A</t>
  </si>
  <si>
    <t>Antall ansatte</t>
  </si>
  <si>
    <t>Antall ansatte, i denne sammenhengen, er antall ansatte i beregningen, som enkeltvis - eller samtidig - har direkte oppfølging med flyktningen i løpet av tilskuddsperioden.</t>
  </si>
  <si>
    <t>Alminnelig arbeidstid</t>
  </si>
  <si>
    <t>Alminnelig arbeidstid er den vanlige arbeidstiden personalet har i løpet av en uke eller dag, som fastsettes i arbeidsmiljøloven. Mange som har inngått en tariffavtale, har avtale om 37,5 timer per uke. For de som jobber skiftarbeid, turnusarbeid, nattarbeid og søndagsarbeid er den alminnelige ukentlige arbeidstiden kortere, som 35,5 timer per uke.</t>
  </si>
  <si>
    <t>Arbeidsgiveravgift</t>
  </si>
  <si>
    <t xml:space="preserve">Arbeidsgiveravgiften er regionalt differensiert og  fastsettes av Stortinget hvert år. Finn riktig arbeidsgiveravgift for din kommune her: </t>
  </si>
  <si>
    <t>https://www.skatteetaten.no/satser/arbeidsgiveravgift-soneinndeling/</t>
  </si>
  <si>
    <t>Arbeidstimer per uke</t>
  </si>
  <si>
    <t xml:space="preserve">Arbeidstimer per uke, i denne sammenhengen, er totalt antall timer per uke der personalet har oppfølging med flyktningen i tiltaket. Beregner dere for flere ansatte, skriver dere totalt antall timer for alle disse ansatte. Det er direktetid vi ønsker oppgitt, det vil si ekskludert de timene personalet bruker på koordinering, reise, eller administrative oppgaver. </t>
  </si>
  <si>
    <t>For undervisningspersonale er dette noe annerledes; her ønsker vi at dere oppgir antall timer per uke som den ansatte underviser eleven (altså årstimer). Det vil si at for- og etterarbeid er innbakt i lønnen - les mer under "Timelønn".  Fellestid og egentid skal ikke inkluderes i timelønnen for undervisningspersonale.</t>
  </si>
  <si>
    <t xml:space="preserve">Arbeidstimer tilsvarer vedtaksfestede timer flyktning har mottatt. Ikke-mottatte timer skal trekkes fra. Tjenester som ikke er levert, faller utenfor ordningen. </t>
  </si>
  <si>
    <t>Arbeidsuker i tilskuddperioden</t>
  </si>
  <si>
    <t>Arbeidsuker, i dette tilfellet, er antall uker de(n) ansatte jobber, og har direkte oppfølging med flyktningen - i løpet av flyktningens tilskuddsperiode (altså ikke per kalenderår). Det vil si at dere ikke skal regne med de ukene den ansatte er på ferie, sykmeldt eller i permisjon, eller uker der flyktning av annen grunn ikke følges opp i tiltaket. Det vil si at hverken korttids- eller langtidsfravær dekkes av ekstratilskuddet.</t>
  </si>
  <si>
    <t xml:space="preserve">Beregner dere arbeidsuker for flere ansatte, skriver dere totalt antall arbeidsuker for alle disse ansatte. </t>
  </si>
  <si>
    <t>F</t>
  </si>
  <si>
    <t>Feriepenger</t>
  </si>
  <si>
    <t>Feriepenger er tolv prosent av feriepengegrunnlaget ved fem ukers ferie. Personalet over 60 år har rett på 14,3 prosent av feriepengegrunnlaget ved seks ukers ferie.</t>
  </si>
  <si>
    <t>P</t>
  </si>
  <si>
    <r>
      <t xml:space="preserve">Pensjonskostnader, </t>
    </r>
    <r>
      <rPr>
        <i/>
        <sz val="11"/>
        <color theme="1" tint="0.249977111117893"/>
        <rFont val="Aptos Narrow"/>
        <family val="2"/>
        <scheme val="minor"/>
      </rPr>
      <t>arbeidsgiversandel</t>
    </r>
  </si>
  <si>
    <t>S</t>
  </si>
  <si>
    <t>Stillingsprosent</t>
  </si>
  <si>
    <t xml:space="preserve">Stillingsprosent er et mål på hvor stor del av en fulltidsstilling en ansatt jobber. Den angis i prosent og viser forholdet mellom den avtalte arbeidstiden og en fulltidsstilling sin normerte arbeidstid. </t>
  </si>
  <si>
    <t>Skoleuker</t>
  </si>
  <si>
    <t>Opplæringsloven fastsetter at opplæringen skal strekke seg over minst 38 skoleuker innenfor en ramme på 45 sammenhengende uker.</t>
  </si>
  <si>
    <t>T</t>
  </si>
  <si>
    <t>Timelønn</t>
  </si>
  <si>
    <t>Timelønn er lønnen en arbeidstaker mottar per time.</t>
  </si>
  <si>
    <t>En ansatte, som jobber 37,5 timer per uke mandag–fredag, beregnes timelønn etter: Årslønn / 37,5 / 52</t>
  </si>
  <si>
    <t>Timelønn (for undervisningspersonale i Oslo kommune)</t>
  </si>
  <si>
    <t>I Oslo kommune beregnes timelønn etter: Årslønn x 1500 / (Årsramme x 1687,5)</t>
  </si>
  <si>
    <t>Timelønn (for undervisningspersonale i KS-området utenom Oslo)</t>
  </si>
  <si>
    <t>I kommuner utenom Oslo beregnes timelønn etter: Årslønn x 1400 x 100 / (Årsramme x 1687,5 x 112)</t>
  </si>
  <si>
    <t>Dette følger av hovedtariffavtalen § 12.4.</t>
  </si>
  <si>
    <r>
      <t xml:space="preserve">Timelønn, </t>
    </r>
    <r>
      <rPr>
        <i/>
        <sz val="11"/>
        <color theme="1" tint="0.249977111117893"/>
        <rFont val="Aptos Narrow"/>
        <family val="2"/>
        <scheme val="minor"/>
      </rPr>
      <t>inkludert sosiale utgifter</t>
    </r>
  </si>
  <si>
    <t>Timelønn inkludert sosiale utgifter er timelønn som inkluderer feriepenger, arbeidsgiveravgift og pensjonsutgifter. I denne sammenheng er forsikringer og andre påslag ikke inkludert, fordi det ikke dekkes av ekstratilskuddet.</t>
  </si>
  <si>
    <t>Å</t>
  </si>
  <si>
    <r>
      <t xml:space="preserve">Årslønn, </t>
    </r>
    <r>
      <rPr>
        <i/>
        <sz val="11"/>
        <color theme="1" tint="0.249977111117893"/>
        <rFont val="Aptos Narrow"/>
        <family val="2"/>
        <scheme val="minor"/>
      </rPr>
      <t>eventuelt gjennomsnittslønn</t>
    </r>
  </si>
  <si>
    <t>Årslønn (grunnlønn) er den ansattes brutto årslønn, før eventuelle tillegg for overtid, feriepenger og andre tillegg. Årslønnen er det samme beløpet som står i arbeidskontrakten.</t>
  </si>
  <si>
    <t xml:space="preserve">I dette hjelpeverktøyet skal dere legge inn den ansattes årslønn (grunnlønn uten tillegg). Selv om den ansatte jobber deltid, skal dere oppgi årslønn for full stilling. </t>
  </si>
  <si>
    <t xml:space="preserve">Har dere lønnsutgifter for flere ansatte, for eksempel i en institusjon, kan dere bruke gjennomsnittslønn i feltet "Årslønn". I de tilfellene bruker dere gjennomsnittlig lønn for de aktuelle personene som har fulgt brukeren i tiltaket. </t>
  </si>
  <si>
    <t>Årsramme</t>
  </si>
  <si>
    <t xml:space="preserve">Årsramme er antall timer med undervisning per år i et fag i en 100 prosent stilling. For å omregne eventuelle undervisningstimer à 45 minutter til klokketimer, multipliserer dere årsrammen med 0,75. </t>
  </si>
  <si>
    <t>Årstimer</t>
  </si>
  <si>
    <t>Se "Arbeidstimer per uke"</t>
  </si>
  <si>
    <t>Totalsum for tiltakene beregnet i dette kostnadsverktøyet:</t>
  </si>
  <si>
    <t>Transport</t>
  </si>
  <si>
    <t>Andre eksterne leverandører</t>
  </si>
  <si>
    <t xml:space="preserve">Lønn </t>
  </si>
  <si>
    <t>Timesats max</t>
  </si>
  <si>
    <t>Oppgitt årslønn er høyere enn det IMDi forventer i denne sammenhengen. Legg ved underbilag som dokumenterer den ansattes årslønn.</t>
  </si>
  <si>
    <t>.</t>
  </si>
  <si>
    <t>Dekkes av ekstratilskuddet:</t>
  </si>
  <si>
    <t>Dekkes ikke av ekstratilskuddet:</t>
  </si>
  <si>
    <t>Pensjon max</t>
  </si>
  <si>
    <t>Tekst 1</t>
  </si>
  <si>
    <t xml:space="preserve">*obligatorisk </t>
  </si>
  <si>
    <t>bruk kun tall og komma, ikke bruk mellomrom og punktum</t>
  </si>
  <si>
    <t>Tekst 2</t>
  </si>
  <si>
    <t>* valgfritt</t>
  </si>
  <si>
    <t>Tekst 3</t>
  </si>
  <si>
    <t>⚠️Vi trenger mer informasjon. Se notat nederst.</t>
  </si>
  <si>
    <t>Tekst 4</t>
  </si>
  <si>
    <t>Utregnes automatisk etter dere har fylt inn de obligatoriske feltene</t>
  </si>
  <si>
    <t>!------ikke rediger disse cellene--------------------------------------------------------------------------------------------------------------------------------------------------------------------------------------</t>
  </si>
  <si>
    <t>------------------------------------------------------!</t>
  </si>
  <si>
    <t>Felt</t>
  </si>
  <si>
    <t>Verdi</t>
  </si>
  <si>
    <t>Kommentar</t>
  </si>
  <si>
    <t>Merkander</t>
  </si>
  <si>
    <t>-</t>
  </si>
  <si>
    <t>Tiltaket</t>
  </si>
  <si>
    <t>Tiltaksnavn</t>
  </si>
  <si>
    <t>i</t>
  </si>
  <si>
    <r>
      <rPr>
        <i/>
        <sz val="11"/>
        <color rgb="FF404040"/>
        <rFont val="Aptos Narrow"/>
        <family val="2"/>
        <scheme val="minor"/>
      </rPr>
      <t>hvis tolk: hvilket tiltak er tolken brukt i?</t>
    </r>
    <r>
      <rPr>
        <sz val="11"/>
        <color rgb="FF404040"/>
        <rFont val="Aptos Narrow"/>
        <family val="2"/>
        <scheme val="minor"/>
      </rPr>
      <t xml:space="preserve"> </t>
    </r>
  </si>
  <si>
    <t>Oppfølging i tiltaket:</t>
  </si>
  <si>
    <t xml:space="preserve">arbeidstimer per uke </t>
  </si>
  <si>
    <t xml:space="preserve">arbeidsuker i tilskuddperioden </t>
  </si>
  <si>
    <t xml:space="preserve">arbeidstimer totalt </t>
  </si>
  <si>
    <t>arbeidstimer dag</t>
  </si>
  <si>
    <t>arbeidstimer kveld</t>
  </si>
  <si>
    <t>arbeidstimer natt</t>
  </si>
  <si>
    <t>arbeidstimer helg</t>
  </si>
  <si>
    <t>arbeidstimer helligdag</t>
  </si>
  <si>
    <t>arbeidstimer helligdag helg</t>
  </si>
  <si>
    <t>Lønnsutgifter per ansatt</t>
  </si>
  <si>
    <t>stillingstittel</t>
  </si>
  <si>
    <t>Tiltak</t>
  </si>
  <si>
    <t>alminnelig arbeidstid for full stilling</t>
  </si>
  <si>
    <t>37,5 timer/uke</t>
  </si>
  <si>
    <r>
      <t xml:space="preserve">Lønn: </t>
    </r>
    <r>
      <rPr>
        <i/>
        <sz val="10"/>
        <color theme="0" tint="-0.499984740745262"/>
        <rFont val="Aptos Narrow"/>
        <family val="2"/>
        <scheme val="minor"/>
      </rPr>
      <t>(individuell/ gjennomsnitt)</t>
    </r>
  </si>
  <si>
    <t>årslønn for full stilling</t>
  </si>
  <si>
    <r>
      <t>timetillegg kveld</t>
    </r>
    <r>
      <rPr>
        <i/>
        <sz val="10"/>
        <color theme="0" tint="-0.499984740745262"/>
        <rFont val="Aptos Narrow"/>
        <family val="2"/>
        <scheme val="minor"/>
      </rPr>
      <t xml:space="preserve"> </t>
    </r>
  </si>
  <si>
    <r>
      <t>timetillegg natt</t>
    </r>
    <r>
      <rPr>
        <i/>
        <sz val="10"/>
        <color theme="0" tint="-0.499984740745262"/>
        <rFont val="Aptos Narrow"/>
        <family val="2"/>
        <scheme val="minor"/>
      </rPr>
      <t xml:space="preserve"> </t>
    </r>
  </si>
  <si>
    <t>timetillegg helg</t>
  </si>
  <si>
    <t>prosenttillegg helligdag</t>
  </si>
  <si>
    <t>Finn riktig timesats her</t>
  </si>
  <si>
    <t>Sosiale utgifter:</t>
  </si>
  <si>
    <t>sats feriepenger</t>
  </si>
  <si>
    <t>sats pensjon</t>
  </si>
  <si>
    <t>sats arbeidsgiveravgift</t>
  </si>
  <si>
    <t>Finn riktig arbeidsgiveravgift her</t>
  </si>
  <si>
    <t>Vis beregningen?</t>
  </si>
  <si>
    <t>Timelønn, uten sosiale utgifter</t>
  </si>
  <si>
    <t>Timelønn, inkludert sosiale utgifter</t>
  </si>
  <si>
    <t>Lønn</t>
  </si>
  <si>
    <t>Ubekvemstillegg</t>
  </si>
  <si>
    <t>Pensjonskostnader</t>
  </si>
  <si>
    <t>Totalkostnad</t>
  </si>
  <si>
    <t>Kryss av for å se beregning</t>
  </si>
  <si>
    <t>Hvis timelønn er over 650 kroner</t>
  </si>
  <si>
    <t>Hvis pensjon er over 10%</t>
  </si>
  <si>
    <t>Velg fra liste….</t>
  </si>
  <si>
    <t>Lønn med undervisningstid</t>
  </si>
  <si>
    <t>-til lærer og -lektor, eller andre kommunalt ansatte som underviser i skolen</t>
  </si>
  <si>
    <t xml:space="preserve">    </t>
  </si>
  <si>
    <r>
      <t xml:space="preserve">årstimer tilrådt av PPT </t>
    </r>
    <r>
      <rPr>
        <i/>
        <sz val="11"/>
        <color theme="0" tint="-0.499984740745262"/>
        <rFont val="Aptos Narrow"/>
        <family val="2"/>
        <scheme val="minor"/>
      </rPr>
      <t>(à 60 minutter)</t>
    </r>
  </si>
  <si>
    <t>undervisningstimer i periode totalt</t>
  </si>
  <si>
    <t>område</t>
  </si>
  <si>
    <t>årsramme (à 60 minutter)</t>
  </si>
  <si>
    <t>Finn riktig årsramme her</t>
  </si>
  <si>
    <t>oppgi egen årsramme når ingen fra listen passer</t>
  </si>
  <si>
    <r>
      <t xml:space="preserve">Lønn og sosiale utgifter: </t>
    </r>
    <r>
      <rPr>
        <i/>
        <sz val="10"/>
        <color theme="0" tint="-0.499984740745262"/>
        <rFont val="Aptos Narrow"/>
        <family val="2"/>
        <scheme val="minor"/>
      </rPr>
      <t>(individuell/ gjennomsnitt)</t>
    </r>
  </si>
  <si>
    <t>Tilrådning</t>
  </si>
  <si>
    <t>Forklar i kommentarfeltet hvorfor dere søker på flere timer enn PPT har tilrådet.</t>
  </si>
  <si>
    <t>Godtgjørelser</t>
  </si>
  <si>
    <t xml:space="preserve"> - som omsorgslønn, støttekontakt, avlastning og besøkshjem</t>
  </si>
  <si>
    <t>Legg ved dokumentasjon som viser hva satsen omfatter og hvordan dere har beregnet den.</t>
  </si>
  <si>
    <r>
      <rPr>
        <sz val="18"/>
        <color rgb="FF50A450"/>
        <rFont val="Wingdings"/>
        <charset val="2"/>
      </rPr>
      <t>þ</t>
    </r>
    <r>
      <rPr>
        <b/>
        <sz val="10"/>
        <color rgb="FF000000"/>
        <rFont val="Aptos Narrow"/>
        <family val="2"/>
      </rPr>
      <t>Lønn og stønad til privataktører som:</t>
    </r>
    <r>
      <rPr>
        <sz val="10"/>
        <color rgb="FF000000"/>
        <rFont val="Aptos Narrow"/>
        <family val="2"/>
      </rPr>
      <t xml:space="preserve"> leverer vedtaksbaserte tjenester etter helse- og omsorgstjenesteloven og barnevernloven
</t>
    </r>
    <r>
      <rPr>
        <sz val="18"/>
        <color rgb="FF50A450"/>
        <rFont val="Wingdings"/>
        <charset val="2"/>
      </rPr>
      <t>þ</t>
    </r>
    <r>
      <rPr>
        <b/>
        <sz val="10"/>
        <color rgb="FF000000"/>
        <rFont val="Aptos Narrow"/>
        <family val="2"/>
      </rPr>
      <t xml:space="preserve">KS-satser: </t>
    </r>
    <r>
      <rPr>
        <sz val="10"/>
        <color rgb="FF000000"/>
        <rFont val="Aptos Narrow"/>
        <family val="2"/>
      </rPr>
      <t xml:space="preserve">for fosterhjem og besøkshjem - reguleres årlig 01.juli. Mer info: ks.no
</t>
    </r>
    <r>
      <rPr>
        <sz val="18"/>
        <color rgb="FF50A450"/>
        <rFont val="Wingdings"/>
        <charset val="2"/>
      </rPr>
      <t>þ</t>
    </r>
    <r>
      <rPr>
        <b/>
        <sz val="10"/>
        <color rgb="FF000000"/>
        <rFont val="Aptos Narrow"/>
        <family val="2"/>
      </rPr>
      <t>AGA</t>
    </r>
    <r>
      <rPr>
        <sz val="10"/>
        <color rgb="FF000000"/>
        <rFont val="Aptos Narrow"/>
        <family val="2"/>
      </rPr>
      <t>: Arbeidsgiveravgift</t>
    </r>
  </si>
  <si>
    <t>Text if blank</t>
  </si>
  <si>
    <t>* Perioden kan ikke overstige ett år.</t>
  </si>
  <si>
    <t>* Utskrivingdato kan ikke være en dato som kommer før innskrivingdato.</t>
  </si>
  <si>
    <t>Avlastere og støttekontakter</t>
  </si>
  <si>
    <t>omfattet av tariffavtale (SGS 1030)</t>
  </si>
  <si>
    <r>
      <t>Veiledende satser for 2025</t>
    </r>
    <r>
      <rPr>
        <i/>
        <sz val="10"/>
        <color theme="1" tint="0.499984740745262"/>
        <rFont val="Aptos Narrow"/>
        <family val="2"/>
        <scheme val="minor"/>
      </rPr>
      <t xml:space="preserve"> (minst per time)</t>
    </r>
  </si>
  <si>
    <t>avlastere, etter helse- og omsorgstjenesteloven</t>
  </si>
  <si>
    <t>avlastere, etter barnevernloven</t>
  </si>
  <si>
    <t>støttekontakt, arbeidstakere over 18 år</t>
  </si>
  <si>
    <t>støttekontakt, arbeidstakere fra 16 til 18 år</t>
  </si>
  <si>
    <t>støttekontakt, arbeidstakere under 16 år</t>
  </si>
  <si>
    <t>Les om satser her</t>
  </si>
  <si>
    <t>VIS BEREGNINGEN?</t>
  </si>
  <si>
    <t>Timesats</t>
  </si>
  <si>
    <t xml:space="preserve">Arbeidstimer totalt </t>
  </si>
  <si>
    <t>Omsorgsstønad</t>
  </si>
  <si>
    <t>timesats i vedtaket</t>
  </si>
  <si>
    <t>Første måned i år</t>
  </si>
  <si>
    <t>Samme satsår?</t>
  </si>
  <si>
    <t>Grunnstøtte til ordinært kommunalt  fosterhjem</t>
  </si>
  <si>
    <t>ÅR</t>
  </si>
  <si>
    <t xml:space="preserve">Tidsrommet flyktningen har oppholdt seg i fosterhjem, i tilskuddsperioden: </t>
  </si>
  <si>
    <r>
      <rPr>
        <sz val="11"/>
        <color rgb="FF404040"/>
        <rFont val="Aptos Narrow"/>
        <family val="2"/>
        <scheme val="minor"/>
      </rPr>
      <t xml:space="preserve">fra: </t>
    </r>
    <r>
      <rPr>
        <i/>
        <sz val="11"/>
        <color rgb="FFADADAD"/>
        <rFont val="Aptos Narrow"/>
        <family val="2"/>
        <scheme val="minor"/>
      </rPr>
      <t>(dd.mm.åååå)</t>
    </r>
  </si>
  <si>
    <r>
      <rPr>
        <sz val="11"/>
        <color rgb="FF404040"/>
        <rFont val="Aptos Narrow"/>
        <family val="2"/>
        <scheme val="minor"/>
      </rPr>
      <t xml:space="preserve">til: </t>
    </r>
    <r>
      <rPr>
        <i/>
        <sz val="11"/>
        <color rgb="FFADADAD"/>
        <rFont val="Aptos Narrow"/>
        <family val="2"/>
        <scheme val="minor"/>
      </rPr>
      <t>(dd.mm.åååå)</t>
    </r>
  </si>
  <si>
    <t>VIS DEL 2?</t>
  </si>
  <si>
    <t>måned</t>
  </si>
  <si>
    <t>dag</t>
  </si>
  <si>
    <t>Grunnstøtte til besøkshjem</t>
  </si>
  <si>
    <r>
      <t xml:space="preserve">Tilskuddsperiode startdato </t>
    </r>
    <r>
      <rPr>
        <i/>
        <sz val="11"/>
        <color theme="2" tint="-0.249977111117893"/>
        <rFont val="Aptos Narrow"/>
        <family val="2"/>
        <scheme val="minor"/>
      </rPr>
      <t>(dd.mm.åååå)</t>
    </r>
  </si>
  <si>
    <t>Andre godtgjørelser</t>
  </si>
  <si>
    <t>timesats</t>
  </si>
  <si>
    <t>Egenandel</t>
  </si>
  <si>
    <r>
      <rPr>
        <sz val="18"/>
        <color rgb="FF50A450"/>
        <rFont val="Wingdings"/>
        <charset val="2"/>
      </rPr>
      <t>þ</t>
    </r>
    <r>
      <rPr>
        <b/>
        <sz val="10"/>
        <color rgb="FF000000"/>
        <rFont val="Aptos Narrow"/>
        <family val="2"/>
      </rPr>
      <t xml:space="preserve">Kommunal egenandel til: </t>
    </r>
    <r>
      <rPr>
        <sz val="10"/>
        <color rgb="FF000000"/>
        <rFont val="Aptos Narrow"/>
        <family val="2"/>
      </rPr>
      <t>fosterhjemsplassering, institusjon og hjemmebaserte tiltak, inntil kommunens satser for egenbetaling for statlige barnevernstiltak.</t>
    </r>
  </si>
  <si>
    <r>
      <rPr>
        <sz val="16"/>
        <color rgb="FFF15540"/>
        <rFont val="Wingdings"/>
        <charset val="2"/>
      </rPr>
      <t>x</t>
    </r>
    <r>
      <rPr>
        <b/>
        <sz val="10"/>
        <color theme="1"/>
        <rFont val="Aptos Narrow"/>
        <family val="2"/>
        <scheme val="minor"/>
      </rPr>
      <t>Utgiftsdekning:</t>
    </r>
    <r>
      <rPr>
        <sz val="10"/>
        <color theme="1"/>
        <rFont val="Aptos Narrow"/>
        <family val="2"/>
        <scheme val="minor"/>
      </rPr>
      <t xml:space="preserve"> til husleie, strøm, mat, utstyr, fritidsaktiviteter </t>
    </r>
    <r>
      <rPr>
        <b/>
        <sz val="10"/>
        <color theme="1"/>
        <rFont val="Aptos Narrow"/>
        <family val="2"/>
        <scheme val="minor"/>
      </rPr>
      <t xml:space="preserve">
</t>
    </r>
    <r>
      <rPr>
        <sz val="16"/>
        <color rgb="FFF15540"/>
        <rFont val="Wingdings"/>
        <charset val="2"/>
      </rPr>
      <t>x</t>
    </r>
    <r>
      <rPr>
        <b/>
        <sz val="10"/>
        <color theme="1"/>
        <rFont val="Aptos Narrow"/>
        <family val="2"/>
        <scheme val="minor"/>
      </rPr>
      <t>Lønn til:</t>
    </r>
    <r>
      <rPr>
        <sz val="10"/>
        <color theme="1"/>
        <rFont val="Aptos Narrow"/>
        <family val="2"/>
        <scheme val="minor"/>
      </rPr>
      <t xml:space="preserve"> administrativt personale, undersøkelsessak og ordinær oppfølging av fosterhjem</t>
    </r>
  </si>
  <si>
    <t>* Til dato kan ikke være en dato som kommer før fra dato.</t>
  </si>
  <si>
    <t>Egenandel til barnevernsinstitusjoner</t>
  </si>
  <si>
    <t>Dager</t>
  </si>
  <si>
    <t xml:space="preserve">Tidsrommet flyktningen har oppholdt seg på institusjonen i tilskuddsperioden: </t>
  </si>
  <si>
    <t>Vis del 2?</t>
  </si>
  <si>
    <t>Egenandel til senter for foreldre og barn</t>
  </si>
  <si>
    <t>Sted utredningen foregår</t>
  </si>
  <si>
    <t>Døgnopphold på senteret</t>
  </si>
  <si>
    <t xml:space="preserve">Tidsrommet flyktningen har utredning  i tilskuddsperioden: </t>
  </si>
  <si>
    <t>Egenandel til beredskapshjem og spesialiserte fosterhjem</t>
  </si>
  <si>
    <t>Plasseringsdato</t>
  </si>
  <si>
    <t xml:space="preserve">Tidsrommet flyktningen har oppholdt seg i beredskapshjem/ fosterhjem i tilskuddsperioden: </t>
  </si>
  <si>
    <t>Egenandel til MST /FFT (Multisystemisk- / funksjonell familieterapi)</t>
  </si>
  <si>
    <r>
      <rPr>
        <sz val="11"/>
        <color rgb="FF404040"/>
        <rFont val="Aptos Narrow"/>
        <family val="2"/>
        <scheme val="minor"/>
      </rPr>
      <t xml:space="preserve">Tiltaksstart </t>
    </r>
    <r>
      <rPr>
        <i/>
        <sz val="11"/>
        <color rgb="FFADADAD"/>
        <rFont val="Aptos Narrow"/>
        <family val="2"/>
        <scheme val="minor"/>
      </rPr>
      <t>(dd.mm.åååå)</t>
    </r>
  </si>
  <si>
    <r>
      <rPr>
        <sz val="11"/>
        <color rgb="FF404040"/>
        <rFont val="Aptos Narrow"/>
        <family val="2"/>
        <scheme val="minor"/>
      </rPr>
      <t xml:space="preserve">Tiltaksslutt </t>
    </r>
    <r>
      <rPr>
        <i/>
        <sz val="11"/>
        <color rgb="FFADADAD"/>
        <rFont val="Aptos Narrow"/>
        <family val="2"/>
        <scheme val="minor"/>
      </rPr>
      <t>(dd.mm.åååå)</t>
    </r>
  </si>
  <si>
    <t>Fakturabaserte kostnader</t>
  </si>
  <si>
    <r>
      <rPr>
        <sz val="18"/>
        <color rgb="FF50A450"/>
        <rFont val="Wingdings"/>
        <charset val="2"/>
      </rPr>
      <t>þ</t>
    </r>
    <r>
      <rPr>
        <b/>
        <sz val="10"/>
        <color rgb="FF000000"/>
        <rFont val="Aptos Narrow"/>
        <family val="2"/>
      </rPr>
      <t>Direkte oppfølgingstid:</t>
    </r>
    <r>
      <rPr>
        <sz val="10"/>
        <color rgb="FF000000"/>
        <rFont val="Aptos Narrow"/>
        <family val="2"/>
      </rPr>
      <t xml:space="preserve"> Lønn for den tiden den ansatte har direkte oppfølging med flyktningen, altså "ansikt-til-ansikt"
</t>
    </r>
    <r>
      <rPr>
        <sz val="18"/>
        <color rgb="FF50A450"/>
        <rFont val="Wingdings"/>
        <charset val="2"/>
      </rPr>
      <t>þ</t>
    </r>
    <r>
      <rPr>
        <b/>
        <sz val="10"/>
        <color rgb="FF000000"/>
        <rFont val="Aptos Narrow"/>
        <family val="2"/>
      </rPr>
      <t>Tolkeutgifter:</t>
    </r>
    <r>
      <rPr>
        <sz val="10"/>
        <color rgb="FF000000"/>
        <rFont val="Aptos Narrow"/>
        <family val="2"/>
      </rPr>
      <t xml:space="preserve"> når tolken har blitt brukt i andre tiltak det søkes om ekstratilskudd til
</t>
    </r>
    <r>
      <rPr>
        <sz val="16"/>
        <color rgb="FF50A450"/>
        <rFont val="Wingdings"/>
        <charset val="2"/>
      </rPr>
      <t>þ</t>
    </r>
    <r>
      <rPr>
        <b/>
        <sz val="10"/>
        <color rgb="FF000000"/>
        <rFont val="Aptos Narrow"/>
        <family val="2"/>
      </rPr>
      <t>Transport til og fra barnehage eller skole:</t>
    </r>
    <r>
      <rPr>
        <sz val="10"/>
        <color rgb="FF000000"/>
        <rFont val="Aptos Narrow"/>
        <family val="2"/>
      </rPr>
      <t xml:space="preserve"> som ikke dekkes av fylkeskommunen. I saker der flyktningen har vedtak om spesialundervisning, er hovedregelen at fylkeskommunen dekker kostnader til transport til og fra skole og barnehage.
</t>
    </r>
    <r>
      <rPr>
        <sz val="16"/>
        <color rgb="FF50A450"/>
        <rFont val="Wingdings"/>
        <charset val="2"/>
      </rPr>
      <t>þ</t>
    </r>
    <r>
      <rPr>
        <b/>
        <sz val="10"/>
        <color rgb="FF000000"/>
        <rFont val="Aptos Narrow"/>
        <family val="2"/>
      </rPr>
      <t>Kommunens egenandel til:</t>
    </r>
    <r>
      <rPr>
        <sz val="10"/>
        <color rgb="FF000000"/>
        <rFont val="Aptos Narrow"/>
        <family val="2"/>
      </rPr>
      <t xml:space="preserve"> transport til og fra barnehage eller skole, som fylkeskommunen dekker.</t>
    </r>
  </si>
  <si>
    <r>
      <rPr>
        <sz val="16"/>
        <color rgb="FFF15540"/>
        <rFont val="Wingdings"/>
        <charset val="2"/>
      </rPr>
      <t>x</t>
    </r>
    <r>
      <rPr>
        <b/>
        <sz val="10"/>
        <color theme="1"/>
        <rFont val="Aptos Narrow"/>
        <family val="2"/>
        <scheme val="minor"/>
      </rPr>
      <t xml:space="preserve">MVA: </t>
    </r>
    <r>
      <rPr>
        <sz val="10"/>
        <color theme="1"/>
        <rFont val="Aptos Narrow"/>
        <family val="2"/>
        <scheme val="minor"/>
      </rPr>
      <t xml:space="preserve">Merverdiavgift 			
</t>
    </r>
    <r>
      <rPr>
        <sz val="16"/>
        <color rgb="FFF15540"/>
        <rFont val="Wingdings"/>
        <charset val="2"/>
      </rPr>
      <t>x</t>
    </r>
    <r>
      <rPr>
        <b/>
        <sz val="10"/>
        <color theme="1"/>
        <rFont val="Aptos Narrow"/>
        <family val="2"/>
        <scheme val="minor"/>
      </rPr>
      <t xml:space="preserve">Arbeidstid uten direkte oppfølging: </t>
    </r>
    <r>
      <rPr>
        <sz val="10"/>
        <color theme="1"/>
        <rFont val="Aptos Narrow"/>
        <family val="2"/>
        <scheme val="minor"/>
      </rPr>
      <t xml:space="preserve">Administrative kostnader/ arbeidstid
</t>
    </r>
    <r>
      <rPr>
        <sz val="16"/>
        <color rgb="FFF15540"/>
        <rFont val="Wingdings"/>
        <charset val="2"/>
      </rPr>
      <t>x</t>
    </r>
    <r>
      <rPr>
        <b/>
        <sz val="10"/>
        <color theme="1"/>
        <rFont val="Aptos Narrow"/>
        <family val="2"/>
        <scheme val="minor"/>
      </rPr>
      <t>Tolk:</t>
    </r>
    <r>
      <rPr>
        <sz val="10"/>
        <color theme="1"/>
        <rFont val="Aptos Narrow"/>
        <family val="2"/>
        <scheme val="minor"/>
      </rPr>
      <t xml:space="preserve"> reisetid for oppmøtetolk
</t>
    </r>
    <r>
      <rPr>
        <sz val="16"/>
        <color rgb="FFF15540"/>
        <rFont val="Wingdings"/>
        <charset val="2"/>
      </rPr>
      <t>x</t>
    </r>
    <r>
      <rPr>
        <b/>
        <sz val="10"/>
        <color theme="1"/>
        <rFont val="Aptos Narrow"/>
        <family val="2"/>
        <scheme val="minor"/>
      </rPr>
      <t>Transportutgifter til og fra skole, eller barnehage:</t>
    </r>
    <r>
      <rPr>
        <sz val="10"/>
        <color theme="1"/>
        <rFont val="Aptos Narrow"/>
        <family val="2"/>
        <scheme val="minor"/>
      </rPr>
      <t xml:space="preserve"> som dekkes av fylkeskommunen eller transportutgifter tilknyttet TT-kort.
</t>
    </r>
    <r>
      <rPr>
        <sz val="16"/>
        <color rgb="FFF15540"/>
        <rFont val="Wingdings"/>
        <charset val="2"/>
      </rPr>
      <t>x</t>
    </r>
    <r>
      <rPr>
        <b/>
        <sz val="10"/>
        <color theme="1"/>
        <rFont val="Aptos Narrow"/>
        <family val="2"/>
        <scheme val="minor"/>
      </rPr>
      <t xml:space="preserve">Transport for kommunale tjenester: </t>
    </r>
    <r>
      <rPr>
        <sz val="10"/>
        <color theme="1"/>
        <rFont val="Aptos Narrow"/>
        <family val="2"/>
        <scheme val="minor"/>
      </rPr>
      <t>som hjemmetjeneste, barnevern og flyktningtjeneste.</t>
    </r>
  </si>
  <si>
    <r>
      <t xml:space="preserve">Dato fra
</t>
    </r>
    <r>
      <rPr>
        <i/>
        <sz val="10"/>
        <color theme="0" tint="-0.499984740745262"/>
        <rFont val="Aptos Narrow"/>
        <family val="2"/>
        <scheme val="minor"/>
      </rPr>
      <t>(dd.mm.åååå)</t>
    </r>
  </si>
  <si>
    <r>
      <t xml:space="preserve">Dato til
</t>
    </r>
    <r>
      <rPr>
        <i/>
        <sz val="10"/>
        <color theme="0" tint="-0.499984740745262"/>
        <rFont val="Aptos Narrow"/>
        <family val="2"/>
        <scheme val="minor"/>
      </rPr>
      <t>(dd.mm.åååå)</t>
    </r>
  </si>
  <si>
    <r>
      <rPr>
        <b/>
        <i/>
        <sz val="10"/>
        <color theme="1" tint="0.249977111117893"/>
        <rFont val="Aptos Narrow"/>
        <family val="2"/>
        <scheme val="minor"/>
      </rPr>
      <t>Transportmiddel</t>
    </r>
    <r>
      <rPr>
        <i/>
        <sz val="10"/>
        <color theme="1" tint="0.249977111117893"/>
        <rFont val="Aptos Narrow"/>
        <family val="2"/>
        <scheme val="minor"/>
      </rPr>
      <t xml:space="preserve">
(velg fra nedtrekksmeny)</t>
    </r>
  </si>
  <si>
    <t>Takst per reise</t>
  </si>
  <si>
    <t>Antall reiser</t>
  </si>
  <si>
    <t>Beløp</t>
  </si>
  <si>
    <t>Ekstern leverandør</t>
  </si>
  <si>
    <t>Hvis tolk: hvilket tiltak er tolken brukt i?</t>
  </si>
  <si>
    <t>Timepris</t>
  </si>
  <si>
    <t>Antall timer i tilskuddsperiode</t>
  </si>
  <si>
    <t>Ansvarsgruppemøter/ sakkyndig arbeid fra PPT</t>
  </si>
  <si>
    <r>
      <rPr>
        <sz val="18"/>
        <color rgb="FF50A450"/>
        <rFont val="Wingdings"/>
        <charset val="2"/>
      </rPr>
      <t>þ</t>
    </r>
    <r>
      <rPr>
        <b/>
        <sz val="10"/>
        <color rgb="FF000000"/>
        <rFont val="Aptos Narrow"/>
        <family val="2"/>
      </rPr>
      <t>Ansvarsgruppemøter:</t>
    </r>
    <r>
      <rPr>
        <sz val="10"/>
        <color rgb="FF000000"/>
        <rFont val="Aptos Narrow"/>
        <family val="2"/>
      </rPr>
      <t xml:space="preserve"> Utgifter for antall møtedeltakere per gang og antall timer per møte. Beregn kun møter der flyktningen selv, eller en representant deltar.			
</t>
    </r>
    <r>
      <rPr>
        <sz val="18"/>
        <color rgb="FF50A450"/>
        <rFont val="Wingdings"/>
        <charset val="2"/>
      </rPr>
      <t>þ</t>
    </r>
    <r>
      <rPr>
        <b/>
        <sz val="10"/>
        <color rgb="FF000000"/>
        <rFont val="Aptos Narrow"/>
        <family val="2"/>
      </rPr>
      <t>Sakkyndig arbeid fra:</t>
    </r>
    <r>
      <rPr>
        <sz val="10"/>
        <color rgb="FF000000"/>
        <rFont val="Aptos Narrow"/>
        <family val="2"/>
      </rPr>
      <t xml:space="preserve"> Dokumenterte utgifter fra Pedagogisk-psykologisk tjeneste (PPT)</t>
    </r>
  </si>
  <si>
    <r>
      <rPr>
        <sz val="16"/>
        <color rgb="FFF15540"/>
        <rFont val="Wingdings"/>
        <charset val="2"/>
      </rPr>
      <t>x</t>
    </r>
    <r>
      <rPr>
        <b/>
        <sz val="10"/>
        <color theme="1"/>
        <rFont val="Aptos Narrow"/>
        <family val="2"/>
        <scheme val="minor"/>
      </rPr>
      <t xml:space="preserve">Sakkyndig utredning fra: </t>
    </r>
    <r>
      <rPr>
        <sz val="10"/>
        <color theme="1"/>
        <rFont val="Aptos Narrow"/>
        <family val="2"/>
        <scheme val="minor"/>
      </rPr>
      <t xml:space="preserve">andre instanser enn PPT
</t>
    </r>
    <r>
      <rPr>
        <sz val="16"/>
        <color rgb="FFF15540"/>
        <rFont val="Wingdings"/>
        <charset val="2"/>
      </rPr>
      <t>x</t>
    </r>
    <r>
      <rPr>
        <b/>
        <sz val="10"/>
        <color theme="1"/>
        <rFont val="Aptos Narrow"/>
        <family val="2"/>
        <scheme val="minor"/>
      </rPr>
      <t>Før- og etterarbeid:</t>
    </r>
    <r>
      <rPr>
        <sz val="10"/>
        <color theme="1"/>
        <rFont val="Aptos Narrow"/>
        <family val="2"/>
        <scheme val="minor"/>
      </rPr>
      <t xml:space="preserve"> av ansvarsgruppemøter
</t>
    </r>
    <r>
      <rPr>
        <sz val="16"/>
        <color rgb="FFF15540"/>
        <rFont val="Wingdings"/>
        <charset val="2"/>
      </rPr>
      <t>x</t>
    </r>
    <r>
      <rPr>
        <b/>
        <sz val="10"/>
        <color theme="1"/>
        <rFont val="Aptos Narrow"/>
        <family val="2"/>
        <scheme val="minor"/>
      </rPr>
      <t>Koordinerende møter:</t>
    </r>
    <r>
      <rPr>
        <sz val="10"/>
        <color theme="1"/>
        <rFont val="Aptos Narrow"/>
        <family val="2"/>
        <scheme val="minor"/>
      </rPr>
      <t xml:space="preserve"> uten at flyktningen selv, foreldre, eller verge  deltar
</t>
    </r>
    <r>
      <rPr>
        <sz val="16"/>
        <color rgb="FFF15540"/>
        <rFont val="Wingdings"/>
        <charset val="2"/>
      </rPr>
      <t>x</t>
    </r>
    <r>
      <rPr>
        <b/>
        <sz val="10"/>
        <color theme="1"/>
        <rFont val="Aptos Narrow"/>
        <family val="2"/>
        <scheme val="minor"/>
      </rPr>
      <t xml:space="preserve">Pensjonsutgifter til: </t>
    </r>
    <r>
      <rPr>
        <sz val="10"/>
        <color theme="1"/>
        <rFont val="Aptos Narrow"/>
        <family val="2"/>
        <scheme val="minor"/>
      </rPr>
      <t>arbeidstakers andel,  og reguleringspremie, eller andre størrelser etter aktuarberegninger og administrative påslag. Eksempler er premiefond, utjevning, selvrisiko, egenbetaling pensjon, eller fremtidig avsetning.</t>
    </r>
  </si>
  <si>
    <t>Ansvarsgruppemøter</t>
  </si>
  <si>
    <t>Antall 
deltakere</t>
  </si>
  <si>
    <t>Årslønn / gjennomsnittslønn</t>
  </si>
  <si>
    <t>Feriepenger
(%)</t>
  </si>
  <si>
    <t>Pensjon
(%)</t>
  </si>
  <si>
    <t>AGA
(%)</t>
  </si>
  <si>
    <t>Timelønn
inkl. sosiale utg</t>
  </si>
  <si>
    <t>Antall timer
per møte</t>
  </si>
  <si>
    <t>Antall 
møter</t>
  </si>
  <si>
    <t>Sakkyndig arbeid fra PPT</t>
  </si>
  <si>
    <t>Årslønn / 
gjennomsnittslønn</t>
  </si>
  <si>
    <t>Antall timer</t>
  </si>
  <si>
    <t/>
  </si>
  <si>
    <t>INNSTILLINGER</t>
  </si>
  <si>
    <t>n/a</t>
  </si>
  <si>
    <t>årslønn</t>
  </si>
  <si>
    <t>timelønn</t>
  </si>
  <si>
    <t>Område</t>
  </si>
  <si>
    <t>Utredning</t>
  </si>
  <si>
    <t>KS-området (utenom Oslo)</t>
  </si>
  <si>
    <t>Oslo kommune</t>
  </si>
  <si>
    <t>Hjemme/poliklinisk</t>
  </si>
  <si>
    <t>741 - Barnetrinnet</t>
  </si>
  <si>
    <t>606 - Ungdomstrinnet (norsk)</t>
  </si>
  <si>
    <t>635 - Ungdomstrinnet (engelsk, mat)</t>
  </si>
  <si>
    <t>664 - Ungdomstrinnet (øvrige fag)</t>
  </si>
  <si>
    <t>Oppgi egen årsramme</t>
  </si>
  <si>
    <t>01.01.2022 eller etter</t>
  </si>
  <si>
    <t>31.12.2021 eller før</t>
  </si>
  <si>
    <t>Senter for foreldre og barn</t>
  </si>
  <si>
    <t>Egenbetaling</t>
  </si>
  <si>
    <t>Institusjon</t>
  </si>
  <si>
    <t>Beredskapshjem</t>
  </si>
  <si>
    <t>Eksisterende plasseringer gjort før 2022</t>
  </si>
  <si>
    <t>MST/FFT</t>
  </si>
  <si>
    <t>Notat</t>
  </si>
  <si>
    <t>Lenk</t>
  </si>
  <si>
    <t xml:space="preserve"> </t>
  </si>
  <si>
    <t>https://www.regjeringen.no/no/dokumenter/satser-for-kommunal-egenbetaling-for-barnevernstiltak-2022/id2902438/</t>
  </si>
  <si>
    <t>https://www.regjeringen.no/no/dokumenter/satser-for-kommunal-egenbetaling-for-statlige-barnevernstiltak-2023/id2953174/</t>
  </si>
  <si>
    <t>https://www.regjeringen.no/no/dokumenter/satser-for-kommunal-egenbetaling-for-statlige-barnevernstiltak-2024/id3020128/</t>
  </si>
  <si>
    <t>https://www.regjeringen.no/no/dokumenter/satser-for-kommunal-egenbetaling-for-statlige-barnevernstiltak-2025/id3080096/</t>
  </si>
  <si>
    <t>Grunnstøtte</t>
  </si>
  <si>
    <t>Besøksjem</t>
  </si>
  <si>
    <t>https://www.ks.no/arkiv/veiledende-satser-for-fosterhjem-og-besokshjem-2022/</t>
  </si>
  <si>
    <t>https://www.ks.no/arkiv/veiledende-satser-for-fosterhjem-og-besokshjem-2023/</t>
  </si>
  <si>
    <t>https://www.ks.no/fagomrader/barn-og-unge/barnevern/veiledende-satser-for-fosterhjem-og-besokshjem-2024/</t>
  </si>
  <si>
    <t>https://www.ks.no/fagomrader/barn-og-unge/barnevern/veiledende-satser-for-fosterhjem-og-besokshjem-2025/</t>
  </si>
  <si>
    <t>33,6 timer/uke</t>
  </si>
  <si>
    <t>35,5 timer/uke</t>
  </si>
  <si>
    <t>40 timer/uke</t>
  </si>
  <si>
    <t>42 timer/uke</t>
  </si>
  <si>
    <t>Arbeidsgiversavgift</t>
  </si>
  <si>
    <t>I</t>
  </si>
  <si>
    <t>II</t>
  </si>
  <si>
    <t>III</t>
  </si>
  <si>
    <t>IV</t>
  </si>
  <si>
    <t>IVa</t>
  </si>
  <si>
    <t>V</t>
  </si>
  <si>
    <t>Sats feriepenger</t>
  </si>
  <si>
    <t>taxi</t>
  </si>
  <si>
    <t>buss</t>
  </si>
  <si>
    <t>annet</t>
  </si>
  <si>
    <t>Avlastning</t>
  </si>
  <si>
    <t>Støttekontakt</t>
  </si>
  <si>
    <r>
      <rPr>
        <sz val="18"/>
        <color rgb="FF50A450"/>
        <rFont val="Wingdings"/>
        <charset val="2"/>
      </rPr>
      <t>þ</t>
    </r>
    <r>
      <rPr>
        <b/>
        <sz val="10"/>
        <color rgb="FF000000"/>
        <rFont val="Aptos Narrow"/>
        <family val="2"/>
      </rPr>
      <t>Direkte oppfølgingstid</t>
    </r>
    <r>
      <rPr>
        <sz val="10"/>
        <color rgb="FF000000"/>
        <rFont val="Aptos Narrow"/>
        <family val="2"/>
      </rPr>
      <t xml:space="preserve">: Lønn for den tiden ansatte har direkte oppfølging med flyktningen, altså "ansikt-til-ansikt"	
</t>
    </r>
    <r>
      <rPr>
        <sz val="18"/>
        <color rgb="FF50A450"/>
        <rFont val="Wingdings"/>
        <charset val="2"/>
      </rPr>
      <t>þ</t>
    </r>
    <r>
      <rPr>
        <b/>
        <sz val="10"/>
        <color rgb="FF000000"/>
        <rFont val="Aptos Narrow"/>
        <family val="2"/>
      </rPr>
      <t>Sosiale utgifter til</t>
    </r>
    <r>
      <rPr>
        <sz val="10"/>
        <color rgb="FF000000"/>
        <rFont val="Aptos Narrow"/>
        <family val="2"/>
      </rPr>
      <t xml:space="preserve">: feriepenger, arbeidsgivers andel av pensjonskostnader og arbeidsgiveravgift
</t>
    </r>
    <r>
      <rPr>
        <sz val="16"/>
        <color rgb="FF50A450"/>
        <rFont val="Wingdings"/>
        <charset val="2"/>
      </rPr>
      <t>þ</t>
    </r>
    <r>
      <rPr>
        <b/>
        <sz val="10"/>
        <color rgb="FF000000"/>
        <rFont val="Aptos Narrow"/>
        <family val="2"/>
      </rPr>
      <t>Pensjonsutgifter til</t>
    </r>
    <r>
      <rPr>
        <sz val="10"/>
        <color rgb="FF000000"/>
        <rFont val="Aptos Narrow"/>
        <family val="2"/>
      </rPr>
      <t>: grunnpremie for pensjon dekkes med 11 %</t>
    </r>
  </si>
  <si>
    <r>
      <rPr>
        <sz val="18"/>
        <color rgb="FF50A450"/>
        <rFont val="Wingdings"/>
        <charset val="2"/>
      </rPr>
      <t>þ</t>
    </r>
    <r>
      <rPr>
        <b/>
        <sz val="10"/>
        <color rgb="FF000000"/>
        <rFont val="Aptos Narrow"/>
        <family val="2"/>
      </rPr>
      <t>Undervisningstid</t>
    </r>
    <r>
      <rPr>
        <sz val="10"/>
        <color rgb="FF000000"/>
        <rFont val="Aptos Narrow"/>
        <family val="2"/>
      </rPr>
      <t xml:space="preserve">: Lønn for den tiden den ansatte gir undervisning til flyktningen
</t>
    </r>
    <r>
      <rPr>
        <sz val="18"/>
        <color rgb="FF50A450"/>
        <rFont val="Wingdings"/>
        <charset val="2"/>
      </rPr>
      <t>þ</t>
    </r>
    <r>
      <rPr>
        <b/>
        <sz val="10"/>
        <color rgb="FF000000"/>
        <rFont val="Aptos Narrow"/>
        <family val="2"/>
      </rPr>
      <t>Før- og etterarbeid til undervisningstimene</t>
    </r>
    <r>
      <rPr>
        <sz val="10"/>
        <color rgb="FF000000"/>
        <rFont val="Aptos Narrow"/>
        <family val="2"/>
      </rPr>
      <t xml:space="preserve">: Dette er allerede innbakt i timelønnen. Satsen justeres automatisk etter valgene dere gjør i nedtrekksmenyen "Årsramme", og skal derfor ikke føres opp i eget punkt i beregningen.
</t>
    </r>
    <r>
      <rPr>
        <sz val="18"/>
        <color rgb="FF50A450"/>
        <rFont val="Wingdings"/>
        <charset val="2"/>
      </rPr>
      <t>þ</t>
    </r>
    <r>
      <rPr>
        <b/>
        <sz val="10"/>
        <color rgb="FF000000"/>
        <rFont val="Aptos Narrow"/>
        <family val="2"/>
      </rPr>
      <t>Sosiale utgifter til</t>
    </r>
    <r>
      <rPr>
        <sz val="10"/>
        <color rgb="FF000000"/>
        <rFont val="Aptos Narrow"/>
        <family val="2"/>
      </rPr>
      <t xml:space="preserve">: feriepenger, arbeidsgivers andel av pensjonskostnader og arbeidsgiveravgift
</t>
    </r>
    <r>
      <rPr>
        <sz val="18"/>
        <color rgb="FF50A450"/>
        <rFont val="Wingdings"/>
        <charset val="2"/>
      </rPr>
      <t>þ</t>
    </r>
    <r>
      <rPr>
        <b/>
        <sz val="10"/>
        <color rgb="FF000000"/>
        <rFont val="Aptos Narrow"/>
        <family val="2"/>
      </rPr>
      <t xml:space="preserve">Pensjonsutgifter til: </t>
    </r>
    <r>
      <rPr>
        <sz val="10"/>
        <color rgb="FF000000"/>
        <rFont val="Aptos Narrow"/>
        <family val="2"/>
      </rPr>
      <t>grunnpremie for pensjon dekkes med 11 %</t>
    </r>
  </si>
  <si>
    <t>Veileder</t>
  </si>
  <si>
    <t>(-) ansattes egenandel for pensjon</t>
  </si>
  <si>
    <t>Hvis ansattes egenandel for pensjon er 0%</t>
  </si>
  <si>
    <t>Ansattes egenandel for pensjon</t>
  </si>
  <si>
    <t xml:space="preserve"> Bekreft i kommentarfelt at dere ikke trekker den ansatte for egenandel.</t>
  </si>
  <si>
    <t>Pensjonskostnader er de kostnadene arbeidsgiver har til pensjonsordninger for sine ansatte. Arbeidsgiver betaler minst 2 % av arbeidstakers lønn som grunnpremie for pensjon.</t>
  </si>
  <si>
    <r>
      <rPr>
        <sz val="16"/>
        <color rgb="FFF15540"/>
        <rFont val="Wingdings"/>
        <charset val="2"/>
      </rPr>
      <t>x</t>
    </r>
    <r>
      <rPr>
        <b/>
        <sz val="10"/>
        <color theme="1"/>
        <rFont val="Aptos Narrow"/>
        <family val="2"/>
        <scheme val="minor"/>
      </rPr>
      <t>Arbeidstid utenom direkte oppfølging</t>
    </r>
    <r>
      <rPr>
        <sz val="10"/>
        <color theme="1"/>
        <rFont val="Aptos Narrow"/>
        <family val="2"/>
        <scheme val="minor"/>
      </rPr>
      <t xml:space="preserve">: lønn til koordinering, reisetid og administrative oppgaver
</t>
    </r>
    <r>
      <rPr>
        <sz val="16"/>
        <color rgb="FFF15540"/>
        <rFont val="Wingdings"/>
        <charset val="2"/>
      </rPr>
      <t>x</t>
    </r>
    <r>
      <rPr>
        <b/>
        <sz val="10"/>
        <color theme="1"/>
        <rFont val="Aptos Narrow"/>
        <family val="2"/>
        <scheme val="minor"/>
      </rPr>
      <t>Sosiale utgifter til</t>
    </r>
    <r>
      <rPr>
        <sz val="10"/>
        <color theme="1"/>
        <rFont val="Aptos Narrow"/>
        <family val="2"/>
        <scheme val="minor"/>
      </rPr>
      <t xml:space="preserve">: overtid, vikarutgifter, merverdiavgifter, forsikring og administrative påslag
</t>
    </r>
    <r>
      <rPr>
        <sz val="16"/>
        <color rgb="FFF15540"/>
        <rFont val="Wingdings"/>
        <charset val="2"/>
      </rPr>
      <t>x</t>
    </r>
    <r>
      <rPr>
        <b/>
        <sz val="10"/>
        <color theme="1"/>
        <rFont val="Aptos Narrow"/>
        <family val="2"/>
        <scheme val="minor"/>
      </rPr>
      <t>Ansattes egenandel for pensjon:</t>
    </r>
    <r>
      <rPr>
        <sz val="10"/>
        <color theme="1"/>
        <rFont val="Aptos Narrow"/>
        <family val="2"/>
        <scheme val="minor"/>
      </rPr>
      <t xml:space="preserve"> ansattes egenandel for grunnpremie pensjon er som regel 2 %. Sett prosenten til 0 dersom den ansatte ikke trekkes for egenandel.</t>
    </r>
  </si>
  <si>
    <r>
      <rPr>
        <sz val="16"/>
        <color rgb="FFF15540"/>
        <rFont val="Wingdings"/>
        <charset val="2"/>
      </rPr>
      <t>x</t>
    </r>
    <r>
      <rPr>
        <b/>
        <sz val="10"/>
        <color theme="1"/>
        <rFont val="Aptos Narrow"/>
        <family val="2"/>
        <scheme val="minor"/>
      </rPr>
      <t xml:space="preserve">Arbeidstid utenom undervisning: </t>
    </r>
    <r>
      <rPr>
        <sz val="10"/>
        <color theme="1"/>
        <rFont val="Aptos Narrow"/>
        <family val="2"/>
        <scheme val="minor"/>
      </rPr>
      <t xml:space="preserve">Administrativt arbeid, eller "egentid", kompetanseheving, strategisk planlegging, andre oppgaver, eller "fellestid"
</t>
    </r>
    <r>
      <rPr>
        <sz val="16"/>
        <color rgb="FFF15540"/>
        <rFont val="Wingdings"/>
        <charset val="2"/>
      </rPr>
      <t>x</t>
    </r>
    <r>
      <rPr>
        <b/>
        <sz val="10"/>
        <color theme="1"/>
        <rFont val="Aptos Narrow"/>
        <family val="2"/>
        <scheme val="minor"/>
      </rPr>
      <t>Sosiale utgifter til</t>
    </r>
    <r>
      <rPr>
        <sz val="10"/>
        <color theme="1"/>
        <rFont val="Aptos Narrow"/>
        <family val="2"/>
        <scheme val="minor"/>
      </rPr>
      <t xml:space="preserve">: overtid, vikarutgifter, merverdiavgifter, forsikring og administrative påslag
</t>
    </r>
    <r>
      <rPr>
        <sz val="16"/>
        <color rgb="FFF15540"/>
        <rFont val="Wingdings"/>
        <charset val="2"/>
      </rPr>
      <t>x</t>
    </r>
    <r>
      <rPr>
        <b/>
        <sz val="10"/>
        <color theme="1"/>
        <rFont val="Aptos Narrow"/>
        <family val="2"/>
        <scheme val="minor"/>
      </rPr>
      <t xml:space="preserve">Ansattes egenandel for pensjon: </t>
    </r>
    <r>
      <rPr>
        <sz val="10"/>
        <color theme="1"/>
        <rFont val="Aptos Narrow"/>
        <family val="2"/>
        <scheme val="minor"/>
      </rPr>
      <t>ansattes egenandel for grunnpremie pensjon er som regel 2 %. Sett prosenten til 0 dersom den ansatte ikke trekkes for egenandel.</t>
    </r>
  </si>
  <si>
    <r>
      <rPr>
        <sz val="16"/>
        <color rgb="FFF15540"/>
        <rFont val="Wingdings"/>
        <charset val="2"/>
      </rPr>
      <t>x</t>
    </r>
    <r>
      <rPr>
        <b/>
        <sz val="10"/>
        <color theme="1"/>
        <rFont val="Aptos Narrow"/>
        <family val="2"/>
        <scheme val="minor"/>
      </rPr>
      <t xml:space="preserve">MVA: </t>
    </r>
    <r>
      <rPr>
        <sz val="10"/>
        <color theme="1"/>
        <rFont val="Aptos Narrow"/>
        <family val="2"/>
        <scheme val="minor"/>
      </rPr>
      <t>Merverdiavgift</t>
    </r>
    <r>
      <rPr>
        <b/>
        <sz val="10"/>
        <color theme="1"/>
        <rFont val="Aptos Narrow"/>
        <family val="2"/>
        <scheme val="minor"/>
      </rPr>
      <t xml:space="preserve"> 
</t>
    </r>
    <r>
      <rPr>
        <sz val="16"/>
        <color rgb="FFF15540"/>
        <rFont val="Wingdings"/>
        <charset val="2"/>
      </rPr>
      <t>x</t>
    </r>
    <r>
      <rPr>
        <b/>
        <sz val="10"/>
        <color theme="1"/>
        <rFont val="Aptos Narrow"/>
        <family val="2"/>
        <scheme val="minor"/>
      </rPr>
      <t>Utgiftsdekning til:</t>
    </r>
    <r>
      <rPr>
        <sz val="10"/>
        <color theme="1"/>
        <rFont val="Aptos Narrow"/>
        <family val="2"/>
        <scheme val="minor"/>
      </rPr>
      <t xml:space="preserve"> mat, klær, fritid og boligkostnader
</t>
    </r>
    <r>
      <rPr>
        <sz val="16"/>
        <color rgb="FFF15540"/>
        <rFont val="Wingdings"/>
        <charset val="2"/>
      </rPr>
      <t>x</t>
    </r>
    <r>
      <rPr>
        <b/>
        <sz val="10"/>
        <color theme="1"/>
        <rFont val="Aptos Narrow"/>
        <family val="2"/>
        <scheme val="minor"/>
      </rPr>
      <t>Ansattes egenandel for pensjon</t>
    </r>
    <r>
      <rPr>
        <sz val="10"/>
        <color theme="1"/>
        <rFont val="Aptos Narrow"/>
        <family val="2"/>
        <scheme val="minor"/>
      </rPr>
      <t>: ansattes egenandel for grunnpremie pensjon er som regel 2 %. Sett prosenten til 0 dersom den ansatte ikke trekkes for egenandel.</t>
    </r>
  </si>
  <si>
    <t>Navn og rolle - ansvarlig for kostnadsberegningen</t>
  </si>
  <si>
    <t>Sted</t>
  </si>
  <si>
    <t>Dato</t>
  </si>
  <si>
    <t xml:space="preserve">(fratrekk) ansattes andel </t>
  </si>
  <si>
    <t>Ekstratilskuddet dekker 11 % av grunnpremien. Den ansattes egenandel for grunnpremien er normalt 2 %. Sett prosenten til 0 % dersom arbeidsgiver ikke trekker egenandel fra lønnen.</t>
  </si>
  <si>
    <t>v3.1</t>
  </si>
  <si>
    <t>v3.0</t>
  </si>
  <si>
    <t>lagt til oppsummerings side</t>
  </si>
  <si>
    <t>lagt til ubekvemstillegg</t>
  </si>
  <si>
    <t>lagt til ark for vedtaksbasert tjenester med timesats</t>
  </si>
  <si>
    <t>fjernet 48-ukers maks grense i lønnskostnader</t>
  </si>
  <si>
    <t>fjernet feil varsel i Tolk for beløp over 30 000 kr</t>
  </si>
  <si>
    <t>endret besøkshjem fra periode til antall dager</t>
  </si>
  <si>
    <t>endret oppsettet for å gjøre side mer utskriftsvennlig</t>
  </si>
  <si>
    <t>lagt til signatur linje</t>
  </si>
  <si>
    <t>lagt til fast pensjons sats 11%</t>
  </si>
  <si>
    <t>oppdatert sats for 2025 for grunnstøtte</t>
  </si>
  <si>
    <t>korrigert feil i læreres timelønn</t>
  </si>
  <si>
    <t>v2.0</t>
  </si>
  <si>
    <t>v1.0</t>
  </si>
  <si>
    <t>publisert på nettsiden</t>
  </si>
  <si>
    <t>lagt til egenandel til senter for foreldre og barn</t>
  </si>
  <si>
    <t>lagt til egenandel til MST /FFT (Multisystemisk/ funksjonell familieterapi)</t>
  </si>
  <si>
    <t>ny versjon</t>
  </si>
  <si>
    <t>lagt til begrepsliste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</si>
</sst>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quot;kr&quot;\ * #,##0.00_-;\-&quot;kr&quot;\ * #,##0.00_-;_-&quot;kr&quot;\ * &quot;-&quot;??_-;_-@_-"/>
    <numFmt numFmtId="43" formatCode="_-* #,##0.00_-;\-* #,##0.00_-;_-* &quot;-&quot;??_-;_-@_-"/>
    <numFmt numFmtId="164" formatCode="0.0\ %"/>
    <numFmt numFmtId="165" formatCode="0.0"/>
    <numFmt numFmtId="166" formatCode="_-&quot;kr&quot;\ * #,##0_-;\-&quot;kr&quot;\ * #,##0_-;_-&quot;kr&quot;\ * &quot;-&quot;??_-;_-@_-"/>
    <numFmt numFmtId="167" formatCode="&quot;kr&quot;\ #,##0"/>
    <numFmt numFmtId="168" formatCode="[$-414]d/\ mmm\.\ yyyy;@"/>
    <numFmt numFmtId="169" formatCode="&quot;kr&quot;\ #,##0.0"/>
    <numFmt numFmtId="170" formatCode="&quot;kr&quot;\ #,##0.00"/>
    <numFmt numFmtId="171" formatCode="_-* #,##0_-;\-* #,##0_-;_-* &quot;-&quot;??_-;_-@_-"/>
    <numFmt numFmtId="172" formatCode="#,##0.0###"/>
    <numFmt numFmtId="173" formatCode="#,##0.00\ [$kr-814]"/>
    <numFmt numFmtId="174" formatCode="#,##0\ [$kr-814]"/>
    <numFmt numFmtId="175" formatCode="0.0###\ %"/>
  </numFmts>
  <fonts count="122" x14ac:knownFonts="1">
    <font>
      <sz val="11"/>
      <color theme="1"/>
      <name val="Aptos Narrow"/>
      <family val="2"/>
      <scheme val="minor"/>
    </font>
    <font>
      <sz val="11"/>
      <color theme="1"/>
      <name val="Aptos Narrow"/>
      <family val="2"/>
      <scheme val="minor"/>
    </font>
    <font>
      <b/>
      <sz val="18"/>
      <color theme="1" tint="0.249977111117893"/>
      <name val="Aptos Narrow"/>
      <family val="2"/>
      <scheme val="minor"/>
    </font>
    <font>
      <sz val="11"/>
      <color theme="1" tint="0.249977111117893"/>
      <name val="Aptos Narrow"/>
      <family val="2"/>
      <scheme val="minor"/>
    </font>
    <font>
      <b/>
      <sz val="11"/>
      <color theme="1" tint="0.249977111117893"/>
      <name val="Aptos Narrow"/>
      <family val="2"/>
      <scheme val="minor"/>
    </font>
    <font>
      <b/>
      <sz val="11"/>
      <color theme="0"/>
      <name val="Aptos Narrow"/>
      <family val="2"/>
      <scheme val="minor"/>
    </font>
    <font>
      <sz val="8"/>
      <name val="Aptos Narrow"/>
      <family val="2"/>
      <scheme val="minor"/>
    </font>
    <font>
      <sz val="14"/>
      <color theme="0"/>
      <name val="Aptos Narrow"/>
      <family val="2"/>
      <scheme val="minor"/>
    </font>
    <font>
      <b/>
      <sz val="14"/>
      <color theme="0"/>
      <name val="Aptos Narrow"/>
      <family val="2"/>
      <scheme val="minor"/>
    </font>
    <font>
      <u/>
      <sz val="11"/>
      <color theme="10"/>
      <name val="Aptos Narrow"/>
      <family val="2"/>
      <scheme val="minor"/>
    </font>
    <font>
      <b/>
      <sz val="26"/>
      <color theme="0"/>
      <name val="Aptos Narrow"/>
      <family val="2"/>
      <scheme val="minor"/>
    </font>
    <font>
      <sz val="10"/>
      <color theme="1" tint="0.249977111117893"/>
      <name val="Aptos Narrow"/>
      <family val="2"/>
      <scheme val="minor"/>
    </font>
    <font>
      <b/>
      <sz val="28"/>
      <color theme="0"/>
      <name val="Aptos Narrow"/>
      <family val="2"/>
      <scheme val="minor"/>
    </font>
    <font>
      <sz val="11"/>
      <color rgb="FFF15540"/>
      <name val="Aptos Narrow"/>
      <family val="2"/>
      <scheme val="minor"/>
    </font>
    <font>
      <sz val="9"/>
      <color rgb="FFF15540"/>
      <name val="Aptos Narrow"/>
      <family val="2"/>
      <scheme val="minor"/>
    </font>
    <font>
      <sz val="10"/>
      <color theme="1" tint="0.34998626667073579"/>
      <name val="Webdings"/>
      <family val="1"/>
      <charset val="2"/>
    </font>
    <font>
      <sz val="10"/>
      <color theme="1"/>
      <name val="Aptos Narrow"/>
      <family val="2"/>
      <scheme val="minor"/>
    </font>
    <font>
      <sz val="10"/>
      <color theme="1"/>
      <name val="Aptos Narrow"/>
      <family val="2"/>
      <charset val="2"/>
      <scheme val="minor"/>
    </font>
    <font>
      <i/>
      <sz val="11"/>
      <color theme="2" tint="-0.249977111117893"/>
      <name val="Aptos Narrow"/>
      <family val="2"/>
      <scheme val="minor"/>
    </font>
    <font>
      <sz val="10"/>
      <color theme="1"/>
      <name val="Aptos Narrow"/>
      <family val="2"/>
    </font>
    <font>
      <u/>
      <sz val="9"/>
      <color rgb="FF50A450"/>
      <name val="Aptos Narrow"/>
      <family val="2"/>
      <scheme val="minor"/>
    </font>
    <font>
      <sz val="18"/>
      <color rgb="FF50A450"/>
      <name val="Wingdings"/>
      <charset val="2"/>
    </font>
    <font>
      <sz val="10"/>
      <color rgb="FFF15540"/>
      <name val="Aptos Narrow"/>
      <family val="2"/>
      <scheme val="minor"/>
    </font>
    <font>
      <sz val="11"/>
      <color rgb="FF282828"/>
      <name val="Aptos Narrow"/>
      <family val="2"/>
      <scheme val="minor"/>
    </font>
    <font>
      <b/>
      <sz val="16"/>
      <color rgb="FF282828"/>
      <name val="Aptos Narrow"/>
      <family val="2"/>
      <scheme val="minor"/>
    </font>
    <font>
      <sz val="11"/>
      <color rgb="FF282828"/>
      <name val="Wingdings"/>
      <charset val="2"/>
    </font>
    <font>
      <sz val="18"/>
      <color rgb="FFF15540"/>
      <name val="Wingdings"/>
      <charset val="2"/>
    </font>
    <font>
      <sz val="18"/>
      <color theme="1" tint="0.249977111117893"/>
      <name val="Aptos Narrow"/>
      <family val="2"/>
      <scheme val="minor"/>
    </font>
    <font>
      <sz val="12"/>
      <color theme="0"/>
      <name val="Aptos Narrow"/>
      <family val="2"/>
      <scheme val="minor"/>
    </font>
    <font>
      <sz val="24"/>
      <color theme="1"/>
      <name val="Aptos Narrow"/>
      <family val="2"/>
      <scheme val="minor"/>
    </font>
    <font>
      <i/>
      <sz val="11"/>
      <color theme="1"/>
      <name val="Aptos Narrow"/>
      <family val="2"/>
      <scheme val="minor"/>
    </font>
    <font>
      <sz val="11"/>
      <color rgb="FFFF0000"/>
      <name val="Aptos Narrow"/>
      <family val="2"/>
      <scheme val="minor"/>
    </font>
    <font>
      <sz val="10"/>
      <color rgb="FF0070C0"/>
      <name val="Aptos Narrow"/>
      <family val="2"/>
      <scheme val="minor"/>
    </font>
    <font>
      <b/>
      <sz val="30"/>
      <color theme="0"/>
      <name val="Aptos Narrow"/>
      <family val="2"/>
      <scheme val="minor"/>
    </font>
    <font>
      <sz val="9"/>
      <color rgb="FF0070C0"/>
      <name val="Aptos Narrow"/>
      <family val="2"/>
      <scheme val="minor"/>
    </font>
    <font>
      <sz val="9"/>
      <color theme="0" tint="-0.499984740745262"/>
      <name val="Aptos Narrow"/>
      <family val="2"/>
      <scheme val="minor"/>
    </font>
    <font>
      <sz val="26"/>
      <color theme="0"/>
      <name val="Aptos Narrow"/>
      <family val="2"/>
      <scheme val="minor"/>
    </font>
    <font>
      <sz val="9"/>
      <color theme="1" tint="0.249977111117893"/>
      <name val="Aptos Narrow"/>
      <family val="2"/>
      <scheme val="minor"/>
    </font>
    <font>
      <i/>
      <sz val="11"/>
      <color theme="1" tint="0.249977111117893"/>
      <name val="Aptos Narrow"/>
      <family val="2"/>
      <scheme val="minor"/>
    </font>
    <font>
      <sz val="11"/>
      <color rgb="FF0070C0"/>
      <name val="Aptos Narrow"/>
      <family val="2"/>
      <scheme val="minor"/>
    </font>
    <font>
      <b/>
      <sz val="24"/>
      <color theme="0"/>
      <name val="Aptos Narrow"/>
      <family val="2"/>
      <scheme val="minor"/>
    </font>
    <font>
      <b/>
      <sz val="10"/>
      <color theme="1" tint="0.249977111117893"/>
      <name val="Aptos Narrow"/>
      <family val="2"/>
      <scheme val="minor"/>
    </font>
    <font>
      <sz val="12"/>
      <color theme="1"/>
      <name val="Aptos Narrow"/>
      <family val="2"/>
      <scheme val="minor"/>
    </font>
    <font>
      <b/>
      <sz val="12"/>
      <color theme="1" tint="0.249977111117893"/>
      <name val="Aptos Narrow"/>
      <family val="2"/>
      <scheme val="minor"/>
    </font>
    <font>
      <sz val="12"/>
      <color rgb="FFF15540"/>
      <name val="Aptos Narrow"/>
      <family val="2"/>
      <scheme val="minor"/>
    </font>
    <font>
      <sz val="12"/>
      <color theme="1" tint="0.249977111117893"/>
      <name val="Aptos Narrow"/>
      <family val="2"/>
      <scheme val="minor"/>
    </font>
    <font>
      <sz val="12"/>
      <color rgb="FF404040"/>
      <name val="Aptos Narrow"/>
      <family val="2"/>
      <scheme val="minor"/>
    </font>
    <font>
      <sz val="10"/>
      <color rgb="FF000000"/>
      <name val="Aptos Narrow"/>
      <family val="2"/>
    </font>
    <font>
      <sz val="14"/>
      <color rgb="FF418541"/>
      <name val="Aptos Narrow"/>
      <family val="2"/>
      <scheme val="minor"/>
    </font>
    <font>
      <sz val="9"/>
      <color rgb="FF418541"/>
      <name val="Aptos Narrow"/>
      <family val="2"/>
      <scheme val="minor"/>
    </font>
    <font>
      <sz val="24"/>
      <color rgb="FFF15540"/>
      <name val="Aptos Narrow"/>
      <family val="2"/>
      <scheme val="minor"/>
    </font>
    <font>
      <sz val="11"/>
      <color theme="1" tint="0.34998626667073579"/>
      <name val="Aptos Narrow"/>
      <family val="2"/>
      <scheme val="minor"/>
    </font>
    <font>
      <sz val="10"/>
      <color theme="1" tint="0.34998626667073579"/>
      <name val="Aptos Narrow"/>
      <family val="2"/>
      <scheme val="minor"/>
    </font>
    <font>
      <b/>
      <sz val="11"/>
      <color theme="1"/>
      <name val="Aptos Narrow"/>
      <family val="2"/>
      <scheme val="minor"/>
    </font>
    <font>
      <sz val="16"/>
      <color theme="1"/>
      <name val="Aptos Narrow"/>
      <family val="2"/>
      <scheme val="minor"/>
    </font>
    <font>
      <b/>
      <sz val="16"/>
      <color theme="0"/>
      <name val="Aptos Narrow"/>
      <family val="2"/>
      <scheme val="minor"/>
    </font>
    <font>
      <b/>
      <sz val="16"/>
      <color theme="1"/>
      <name val="Aptos Narrow"/>
      <family val="2"/>
      <scheme val="minor"/>
    </font>
    <font>
      <b/>
      <sz val="24"/>
      <color theme="1"/>
      <name val="Aptos Narrow"/>
      <family val="2"/>
      <scheme val="minor"/>
    </font>
    <font>
      <sz val="16"/>
      <color theme="1" tint="0.249977111117893"/>
      <name val="Aptos Narrow"/>
      <family val="2"/>
      <scheme val="minor"/>
    </font>
    <font>
      <sz val="16"/>
      <color theme="0"/>
      <name val="Aptos Narrow"/>
      <family val="2"/>
      <scheme val="minor"/>
    </font>
    <font>
      <sz val="11"/>
      <color rgb="FF000000"/>
      <name val="Aptos Narrow"/>
      <family val="2"/>
    </font>
    <font>
      <sz val="10"/>
      <name val="Aptos Narrow"/>
      <family val="2"/>
    </font>
    <font>
      <i/>
      <sz val="10"/>
      <color theme="1" tint="0.249977111117893"/>
      <name val="Aptos Narrow"/>
      <family val="2"/>
      <scheme val="minor"/>
    </font>
    <font>
      <b/>
      <sz val="11"/>
      <color theme="0" tint="-0.499984740745262"/>
      <name val="Aptos Narrow"/>
      <family val="2"/>
      <scheme val="minor"/>
    </font>
    <font>
      <u/>
      <sz val="10"/>
      <color theme="0" tint="-0.499984740745262"/>
      <name val="Aptos Narrow"/>
      <family val="2"/>
      <scheme val="minor"/>
    </font>
    <font>
      <i/>
      <sz val="10"/>
      <color rgb="FF0070C0"/>
      <name val="Aptos Narrow"/>
      <family val="2"/>
      <scheme val="minor"/>
    </font>
    <font>
      <sz val="8"/>
      <color theme="1" tint="0.249977111117893"/>
      <name val="Aptos Narrow"/>
      <family val="2"/>
      <scheme val="minor"/>
    </font>
    <font>
      <sz val="8"/>
      <color theme="1"/>
      <name val="Aptos Narrow"/>
      <family val="2"/>
      <scheme val="minor"/>
    </font>
    <font>
      <sz val="8"/>
      <color rgb="FFF15540"/>
      <name val="Aptos Narrow"/>
      <family val="2"/>
      <scheme val="minor"/>
    </font>
    <font>
      <b/>
      <sz val="8"/>
      <color theme="0" tint="-0.499984740745262"/>
      <name val="Aptos Narrow"/>
      <family val="2"/>
      <scheme val="minor"/>
    </font>
    <font>
      <sz val="8"/>
      <color theme="0"/>
      <name val="Aptos Narrow"/>
      <family val="2"/>
      <scheme val="minor"/>
    </font>
    <font>
      <sz val="10"/>
      <color theme="0" tint="-0.499984740745262"/>
      <name val="Webdings"/>
      <family val="1"/>
      <charset val="2"/>
    </font>
    <font>
      <sz val="11"/>
      <color theme="0" tint="-0.499984740745262"/>
      <name val="Aptos Narrow"/>
      <family val="2"/>
      <scheme val="minor"/>
    </font>
    <font>
      <i/>
      <sz val="11"/>
      <color theme="0" tint="-0.499984740745262"/>
      <name val="Aptos Narrow"/>
      <family val="2"/>
      <scheme val="minor"/>
    </font>
    <font>
      <i/>
      <sz val="10"/>
      <color theme="0" tint="-0.499984740745262"/>
      <name val="Aptos Narrow"/>
      <family val="2"/>
      <scheme val="minor"/>
    </font>
    <font>
      <b/>
      <sz val="14"/>
      <color theme="0" tint="-0.499984740745262"/>
      <name val="Aptos Narrow"/>
      <family val="2"/>
      <scheme val="minor"/>
    </font>
    <font>
      <b/>
      <sz val="16"/>
      <color theme="0" tint="-0.499984740745262"/>
      <name val="Aptos Narrow"/>
      <family val="2"/>
      <scheme val="minor"/>
    </font>
    <font>
      <b/>
      <sz val="16"/>
      <color theme="1" tint="0.249977111117893"/>
      <name val="Aptos Narrow"/>
      <family val="2"/>
      <scheme val="minor"/>
    </font>
    <font>
      <b/>
      <sz val="24"/>
      <color rgb="FF418541"/>
      <name val="Aptos Narrow"/>
      <family val="2"/>
      <scheme val="minor"/>
    </font>
    <font>
      <sz val="16"/>
      <color rgb="FFF15540"/>
      <name val="Aptos Narrow"/>
      <family val="2"/>
      <scheme val="minor"/>
    </font>
    <font>
      <sz val="24"/>
      <color theme="0" tint="-0.499984740745262"/>
      <name val="Aptos Narrow"/>
      <family val="2"/>
      <scheme val="minor"/>
    </font>
    <font>
      <sz val="16"/>
      <color theme="0" tint="-0.499984740745262"/>
      <name val="Aptos Narrow"/>
      <family val="2"/>
      <scheme val="minor"/>
    </font>
    <font>
      <sz val="24"/>
      <color theme="1" tint="0.249977111117893"/>
      <name val="Aptos Narrow"/>
      <family val="2"/>
      <scheme val="minor"/>
    </font>
    <font>
      <b/>
      <i/>
      <sz val="10"/>
      <color theme="1" tint="0.249977111117893"/>
      <name val="Aptos Narrow"/>
      <family val="2"/>
      <scheme val="minor"/>
    </font>
    <font>
      <sz val="12"/>
      <color rgb="FF50A450"/>
      <name val="Aptos Narrow"/>
      <family val="2"/>
      <scheme val="minor"/>
    </font>
    <font>
      <i/>
      <sz val="12"/>
      <color theme="0" tint="-0.34998626667073579"/>
      <name val="Aptos Narrow"/>
      <family val="2"/>
      <scheme val="minor"/>
    </font>
    <font>
      <sz val="11"/>
      <color theme="5"/>
      <name val="Aptos Narrow"/>
      <family val="2"/>
      <scheme val="minor"/>
    </font>
    <font>
      <sz val="11"/>
      <color theme="1"/>
      <name val="Arial"/>
      <family val="2"/>
    </font>
    <font>
      <i/>
      <sz val="9"/>
      <color theme="0" tint="-0.499984740745262"/>
      <name val="Aptos Narrow"/>
      <family val="2"/>
      <scheme val="minor"/>
    </font>
    <font>
      <b/>
      <sz val="10"/>
      <color rgb="FF000000"/>
      <name val="Aptos Narrow"/>
      <family val="2"/>
    </font>
    <font>
      <i/>
      <sz val="11"/>
      <color theme="1" tint="0.499984740745262"/>
      <name val="Aptos Narrow"/>
      <family val="2"/>
      <scheme val="minor"/>
    </font>
    <font>
      <i/>
      <sz val="10"/>
      <color theme="1" tint="0.499984740745262"/>
      <name val="Aptos Narrow"/>
      <family val="2"/>
      <scheme val="minor"/>
    </font>
    <font>
      <sz val="11"/>
      <color theme="1" tint="0.499984740745262"/>
      <name val="Aptos Narrow"/>
      <family val="2"/>
      <scheme val="minor"/>
    </font>
    <font>
      <b/>
      <i/>
      <sz val="12"/>
      <color theme="1" tint="0.249977111117893"/>
      <name val="Aptos Narrow"/>
      <family val="2"/>
      <scheme val="minor"/>
    </font>
    <font>
      <sz val="11"/>
      <color rgb="FF404040"/>
      <name val="Aptos Narrow"/>
      <family val="2"/>
      <scheme val="minor"/>
    </font>
    <font>
      <b/>
      <sz val="10"/>
      <name val="Aptos Narrow"/>
      <family val="2"/>
    </font>
    <font>
      <i/>
      <sz val="11"/>
      <color rgb="FFADADAD"/>
      <name val="Aptos Narrow"/>
      <family val="2"/>
      <scheme val="minor"/>
    </font>
    <font>
      <sz val="16"/>
      <color rgb="FF50A450"/>
      <name val="Wingdings"/>
      <charset val="2"/>
    </font>
    <font>
      <i/>
      <sz val="11"/>
      <color theme="0"/>
      <name val="Arial"/>
      <family val="2"/>
    </font>
    <font>
      <b/>
      <sz val="10"/>
      <color theme="1"/>
      <name val="Aptos Narrow"/>
      <family val="2"/>
      <scheme val="minor"/>
    </font>
    <font>
      <sz val="16"/>
      <color rgb="FFF15540"/>
      <name val="Wingdings"/>
      <charset val="2"/>
    </font>
    <font>
      <i/>
      <sz val="11"/>
      <color rgb="FF404040"/>
      <name val="Aptos Narrow"/>
      <family val="2"/>
      <scheme val="minor"/>
    </font>
    <font>
      <sz val="11"/>
      <color theme="0"/>
      <name val="Arial"/>
      <family val="2"/>
    </font>
    <font>
      <sz val="11"/>
      <color theme="1" tint="0.249977111117893"/>
      <name val="Arial"/>
      <family val="2"/>
    </font>
    <font>
      <sz val="11"/>
      <color rgb="FFF15540"/>
      <name val="Arial"/>
      <family val="2"/>
    </font>
    <font>
      <sz val="11"/>
      <color theme="0" tint="-0.499984740745262"/>
      <name val="Arial"/>
      <family val="2"/>
    </font>
    <font>
      <sz val="8"/>
      <color theme="1"/>
      <name val="Arial"/>
      <family val="2"/>
    </font>
    <font>
      <sz val="8"/>
      <color rgb="FF0070C0"/>
      <name val="Aptos Narrow"/>
      <family val="2"/>
      <scheme val="minor"/>
    </font>
    <font>
      <sz val="8"/>
      <color rgb="FFFF0000"/>
      <name val="Aptos Narrow"/>
      <family val="2"/>
      <scheme val="minor"/>
    </font>
    <font>
      <sz val="8"/>
      <color theme="0" tint="-0.499984740745262"/>
      <name val="Aptos Narrow"/>
      <family val="2"/>
      <scheme val="minor"/>
    </font>
    <font>
      <sz val="8"/>
      <color rgb="FF50A450"/>
      <name val="Aptos Narrow"/>
      <family val="2"/>
      <scheme val="minor"/>
    </font>
    <font>
      <i/>
      <sz val="9"/>
      <color theme="1" tint="0.249977111117893"/>
      <name val="Aptos Narrow"/>
      <family val="2"/>
      <scheme val="minor"/>
    </font>
    <font>
      <b/>
      <sz val="10"/>
      <color rgb="FFF15540"/>
      <name val="Aptos Narrow"/>
      <family val="2"/>
      <scheme val="minor"/>
    </font>
    <font>
      <b/>
      <sz val="8"/>
      <color theme="1"/>
      <name val="Aptos Narrow"/>
      <family val="2"/>
      <scheme val="minor"/>
    </font>
    <font>
      <sz val="11"/>
      <color theme="0"/>
      <name val="Aptos Narrow"/>
      <family val="2"/>
      <scheme val="minor"/>
    </font>
    <font>
      <sz val="11"/>
      <color rgb="FF000000"/>
      <name val="Aptos Narrow"/>
      <family val="2"/>
      <scheme val="minor"/>
    </font>
    <font>
      <i/>
      <sz val="11"/>
      <color rgb="FF000000"/>
      <name val="Aptos Narrow"/>
      <family val="2"/>
    </font>
    <font>
      <sz val="10"/>
      <color rgb="FF000000"/>
      <name val="Aptos Narrow"/>
      <family val="2"/>
      <charset val="2"/>
    </font>
    <font>
      <i/>
      <sz val="11"/>
      <color theme="0" tint="-0.34998626667073579"/>
      <name val="Aptos Narrow"/>
      <family val="2"/>
      <scheme val="minor"/>
    </font>
    <font>
      <sz val="10"/>
      <color theme="0" tint="-0.499984740745262"/>
      <name val="Aptos Narrow"/>
      <family val="2"/>
      <scheme val="minor"/>
    </font>
    <font>
      <b/>
      <sz val="11"/>
      <color rgb="FFF15540"/>
      <name val="Aptos Narrow"/>
      <family val="2"/>
      <scheme val="minor"/>
    </font>
    <font>
      <sz val="11"/>
      <color theme="1" tint="0.14999847407452621"/>
      <name val="Aptos Narrow"/>
      <family val="2"/>
      <scheme val="minor"/>
    </font>
  </fonts>
  <fills count="19">
    <fill>
      <patternFill patternType="none"/>
    </fill>
    <fill>
      <patternFill patternType="gray125"/>
    </fill>
    <fill>
      <patternFill patternType="solid">
        <fgColor theme="0"/>
        <bgColor indexed="64"/>
      </patternFill>
    </fill>
    <fill>
      <patternFill patternType="solid">
        <fgColor rgb="FF50A450"/>
        <bgColor indexed="64"/>
      </patternFill>
    </fill>
    <fill>
      <patternFill patternType="solid">
        <fgColor rgb="FF418541"/>
        <bgColor indexed="64"/>
      </patternFill>
    </fill>
    <fill>
      <patternFill patternType="solid">
        <fgColor rgb="FFF2EFED"/>
        <bgColor indexed="64"/>
      </patternFill>
    </fill>
    <fill>
      <patternFill patternType="solid">
        <fgColor rgb="FFE4EFE4"/>
        <bgColor indexed="64"/>
      </patternFill>
    </fill>
    <fill>
      <patternFill patternType="solid">
        <fgColor theme="1" tint="0.34998626667073579"/>
        <bgColor indexed="64"/>
      </patternFill>
    </fill>
    <fill>
      <patternFill patternType="solid">
        <fgColor rgb="FFF2E7E7"/>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8E6"/>
        <bgColor indexed="64"/>
      </patternFill>
    </fill>
    <fill>
      <patternFill patternType="solid">
        <fgColor theme="1" tint="0.499984740745262"/>
        <bgColor indexed="64"/>
      </patternFill>
    </fill>
    <fill>
      <patternFill patternType="solid">
        <fgColor rgb="FFFFFF00"/>
        <bgColor indexed="64"/>
      </patternFill>
    </fill>
    <fill>
      <patternFill patternType="mediumGray">
        <fgColor theme="0"/>
        <bgColor rgb="FFE4EFE4"/>
      </patternFill>
    </fill>
    <fill>
      <patternFill patternType="solid">
        <fgColor rgb="FFF2E7E7"/>
        <bgColor rgb="FF000000"/>
      </patternFill>
    </fill>
    <fill>
      <patternFill patternType="solid">
        <fgColor theme="2" tint="-9.9978637043366805E-2"/>
        <bgColor indexed="64"/>
      </patternFill>
    </fill>
    <fill>
      <patternFill patternType="solid">
        <fgColor theme="2"/>
        <bgColor indexed="64"/>
      </patternFill>
    </fill>
    <fill>
      <patternFill patternType="solid">
        <fgColor theme="1"/>
        <bgColor indexed="64"/>
      </patternFill>
    </fill>
  </fills>
  <borders count="75">
    <border>
      <left/>
      <right/>
      <top/>
      <bottom/>
      <diagonal/>
    </border>
    <border>
      <left style="double">
        <color theme="0"/>
      </left>
      <right style="double">
        <color theme="0"/>
      </right>
      <top style="double">
        <color theme="0"/>
      </top>
      <bottom style="double">
        <color theme="0"/>
      </bottom>
      <diagonal/>
    </border>
    <border>
      <left/>
      <right/>
      <top style="double">
        <color theme="0"/>
      </top>
      <bottom style="double">
        <color theme="0"/>
      </bottom>
      <diagonal/>
    </border>
    <border>
      <left style="double">
        <color theme="0"/>
      </left>
      <right style="double">
        <color theme="0"/>
      </right>
      <top style="double">
        <color theme="0"/>
      </top>
      <bottom/>
      <diagonal/>
    </border>
    <border>
      <left/>
      <right/>
      <top/>
      <bottom style="double">
        <color theme="0"/>
      </bottom>
      <diagonal/>
    </border>
    <border>
      <left/>
      <right/>
      <top style="double">
        <color theme="0"/>
      </top>
      <bottom/>
      <diagonal/>
    </border>
    <border>
      <left/>
      <right style="double">
        <color theme="0"/>
      </right>
      <top/>
      <bottom style="double">
        <color theme="0"/>
      </bottom>
      <diagonal/>
    </border>
    <border>
      <left style="double">
        <color theme="0"/>
      </left>
      <right style="double">
        <color theme="0"/>
      </right>
      <top/>
      <bottom style="double">
        <color theme="0"/>
      </bottom>
      <diagonal/>
    </border>
    <border>
      <left style="double">
        <color theme="0"/>
      </left>
      <right/>
      <top/>
      <bottom style="double">
        <color theme="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indexed="64"/>
      </left>
      <right style="thin">
        <color indexed="64"/>
      </right>
      <top style="thin">
        <color indexed="64"/>
      </top>
      <bottom style="thin">
        <color indexed="64"/>
      </bottom>
      <diagonal/>
    </border>
    <border>
      <left style="thin">
        <color rgb="FF418541"/>
      </left>
      <right/>
      <top style="thin">
        <color rgb="FF418541"/>
      </top>
      <bottom style="thin">
        <color rgb="FF418541"/>
      </bottom>
      <diagonal/>
    </border>
    <border>
      <left/>
      <right style="thin">
        <color rgb="FF418541"/>
      </right>
      <top style="thin">
        <color rgb="FF418541"/>
      </top>
      <bottom style="thin">
        <color rgb="FF418541"/>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right/>
      <top style="thin">
        <color theme="0" tint="-0.14996795556505021"/>
      </top>
      <bottom style="thin">
        <color theme="0" tint="-0.14996795556505021"/>
      </bottom>
      <diagonal/>
    </border>
    <border>
      <left/>
      <right/>
      <top/>
      <bottom style="thin">
        <color theme="0" tint="-0.14996795556505021"/>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right/>
      <top/>
      <bottom style="thin">
        <color theme="0"/>
      </bottom>
      <diagonal/>
    </border>
    <border>
      <left/>
      <right/>
      <top/>
      <bottom style="thin">
        <color theme="0" tint="-0.24994659260841701"/>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right/>
      <top style="thin">
        <color rgb="FF418541"/>
      </top>
      <bottom style="thin">
        <color rgb="FF418541"/>
      </bottom>
      <diagonal/>
    </border>
    <border>
      <left style="thin">
        <color theme="0"/>
      </left>
      <right style="thin">
        <color theme="0"/>
      </right>
      <top style="thin">
        <color theme="0"/>
      </top>
      <bottom style="double">
        <color theme="0"/>
      </bottom>
      <diagonal/>
    </border>
    <border>
      <left style="thin">
        <color theme="0"/>
      </left>
      <right style="thin">
        <color theme="0"/>
      </right>
      <top style="double">
        <color theme="0"/>
      </top>
      <bottom style="double">
        <color theme="0"/>
      </bottom>
      <diagonal/>
    </border>
    <border>
      <left style="thin">
        <color theme="0"/>
      </left>
      <right style="thin">
        <color theme="0"/>
      </right>
      <top style="double">
        <color theme="0"/>
      </top>
      <bottom style="thin">
        <color theme="0"/>
      </bottom>
      <diagonal/>
    </border>
    <border>
      <left style="thin">
        <color theme="0"/>
      </left>
      <right style="thin">
        <color theme="0"/>
      </right>
      <top/>
      <bottom style="double">
        <color theme="0"/>
      </bottom>
      <diagonal/>
    </border>
    <border>
      <left/>
      <right/>
      <top style="thin">
        <color theme="0"/>
      </top>
      <bottom/>
      <diagonal/>
    </border>
    <border>
      <left style="thin">
        <color theme="0"/>
      </left>
      <right/>
      <top/>
      <bottom/>
      <diagonal/>
    </border>
    <border>
      <left/>
      <right style="thin">
        <color theme="0"/>
      </right>
      <top/>
      <bottom/>
      <diagonal/>
    </border>
    <border>
      <left style="thin">
        <color theme="0"/>
      </left>
      <right style="double">
        <color theme="0"/>
      </right>
      <top/>
      <bottom style="double">
        <color theme="0"/>
      </bottom>
      <diagonal/>
    </border>
    <border>
      <left style="thin">
        <color theme="0"/>
      </left>
      <right/>
      <top/>
      <bottom style="double">
        <color theme="0"/>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1" tint="0.34998626667073579"/>
      </left>
      <right style="thin">
        <color theme="1" tint="0.34998626667073579"/>
      </right>
      <top style="thin">
        <color theme="1" tint="0.34998626667073579"/>
      </top>
      <bottom/>
      <diagonal/>
    </border>
    <border>
      <left/>
      <right/>
      <top/>
      <bottom style="dotted">
        <color rgb="FFBFBFBF"/>
      </bottom>
      <diagonal/>
    </border>
    <border>
      <left/>
      <right style="thin">
        <color theme="0"/>
      </right>
      <top/>
      <bottom style="dotted">
        <color rgb="FFBFBFBF"/>
      </bottom>
      <diagonal/>
    </border>
    <border>
      <left style="thin">
        <color theme="0" tint="-0.24994659260841701"/>
      </left>
      <right/>
      <top style="thin">
        <color rgb="FF418541"/>
      </top>
      <bottom style="thin">
        <color rgb="FF418541"/>
      </bottom>
      <diagonal/>
    </border>
    <border>
      <left/>
      <right style="thin">
        <color theme="0" tint="-0.24994659260841701"/>
      </right>
      <top style="thin">
        <color rgb="FF418541"/>
      </top>
      <bottom style="thin">
        <color rgb="FF41854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double">
        <color theme="0"/>
      </right>
      <top/>
      <bottom style="thin">
        <color theme="0" tint="-0.24994659260841701"/>
      </bottom>
      <diagonal/>
    </border>
    <border>
      <left style="double">
        <color theme="0"/>
      </left>
      <right style="double">
        <color theme="0"/>
      </right>
      <top/>
      <bottom style="thin">
        <color theme="0" tint="-0.24994659260841701"/>
      </bottom>
      <diagonal/>
    </border>
    <border>
      <left style="double">
        <color theme="0"/>
      </left>
      <right/>
      <top/>
      <bottom style="thin">
        <color theme="0" tint="-0.24994659260841701"/>
      </bottom>
      <diagonal/>
    </border>
    <border>
      <left style="thin">
        <color rgb="FF418541"/>
      </left>
      <right style="thin">
        <color rgb="FF418541"/>
      </right>
      <top style="thin">
        <color rgb="FF418541"/>
      </top>
      <bottom style="thin">
        <color rgb="FF418541"/>
      </bottom>
      <diagonal/>
    </border>
    <border>
      <left style="thin">
        <color rgb="FF418541"/>
      </left>
      <right style="thin">
        <color rgb="FF418541"/>
      </right>
      <top/>
      <bottom style="thin">
        <color rgb="FF418541"/>
      </bottom>
      <diagonal/>
    </border>
    <border>
      <left/>
      <right/>
      <top style="thin">
        <color theme="0"/>
      </top>
      <bottom style="thin">
        <color theme="0"/>
      </bottom>
      <diagonal/>
    </border>
    <border>
      <left style="double">
        <color theme="0"/>
      </left>
      <right style="thin">
        <color theme="0" tint="-0.24994659260841701"/>
      </right>
      <top/>
      <bottom style="thin">
        <color theme="0" tint="-0.24994659260841701"/>
      </bottom>
      <diagonal/>
    </border>
  </borders>
  <cellStyleXfs count="5">
    <xf numFmtId="0" fontId="0" fillId="0" borderId="0"/>
    <xf numFmtId="0" fontId="53" fillId="0" borderId="0" applyNumberForma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xf numFmtId="43" fontId="1" fillId="0" borderId="0" applyFont="0" applyFill="0" applyBorder="0" applyAlignment="0" applyProtection="0"/>
  </cellStyleXfs>
  <cellXfs count="805">
    <xf numFmtId="0" fontId="0" fillId="0" borderId="0" xfId="0"/>
    <xf numFmtId="14" fontId="0" fillId="5" borderId="0" xfId="0" applyNumberFormat="1" applyFill="1" applyAlignment="1">
      <alignment horizontal="center"/>
    </xf>
    <xf numFmtId="14" fontId="0" fillId="5" borderId="0" xfId="0" applyNumberFormat="1" applyFill="1" applyAlignment="1">
      <alignment horizontal="center"/>
    </xf>
    <xf numFmtId="0" fontId="0" fillId="2" borderId="0" xfId="0" applyFill="1"/>
    <xf numFmtId="0" fontId="0" fillId="3" borderId="0" xfId="0" applyFill="1" applyAlignment="1">
      <alignment horizontal="left" vertical="center"/>
    </xf>
    <xf numFmtId="0" fontId="0" fillId="4" borderId="0" xfId="0" applyFill="1" applyAlignment="1">
      <alignment horizontal="left" vertical="center"/>
    </xf>
    <xf numFmtId="0" fontId="0" fillId="5" borderId="0" xfId="0" applyFill="1"/>
    <xf numFmtId="0" fontId="0" fillId="5" borderId="0" xfId="0" applyFill="1" applyAlignment="1">
      <alignment vertical="center"/>
    </xf>
    <xf numFmtId="0" fontId="10" fillId="4" borderId="0" xfId="0" applyFont="1" applyFill="1" applyAlignment="1">
      <alignment horizontal="left" vertical="center"/>
    </xf>
    <xf numFmtId="0" fontId="12" fillId="3" borderId="0" xfId="0" applyFont="1" applyFill="1" applyAlignment="1">
      <alignment horizontal="left" vertical="center"/>
    </xf>
    <xf numFmtId="0" fontId="5" fillId="7" borderId="9" xfId="0" applyFont="1" applyFill="1" applyBorder="1" applyAlignment="1">
      <alignment horizontal="left" indent="1"/>
    </xf>
    <xf numFmtId="0" fontId="5" fillId="7" borderId="9" xfId="0" applyFont="1" applyFill="1" applyBorder="1"/>
    <xf numFmtId="0" fontId="5" fillId="7" borderId="9" xfId="0" applyFont="1" applyFill="1" applyBorder="1" applyAlignment="1">
      <alignment wrapText="1"/>
    </xf>
    <xf numFmtId="0" fontId="13" fillId="5" borderId="9" xfId="0" applyFont="1" applyFill="1" applyBorder="1" applyAlignment="1">
      <alignment horizontal="center"/>
    </xf>
    <xf numFmtId="0" fontId="13" fillId="5" borderId="10" xfId="0" applyFont="1" applyFill="1" applyBorder="1" applyAlignment="1">
      <alignment horizontal="left" indent="1"/>
    </xf>
    <xf numFmtId="167" fontId="13" fillId="5" borderId="9" xfId="0" applyNumberFormat="1" applyFont="1" applyFill="1" applyBorder="1" applyAlignment="1">
      <alignment horizontal="center"/>
    </xf>
    <xf numFmtId="0" fontId="13" fillId="5" borderId="0" xfId="0" applyFont="1" applyFill="1" applyAlignment="1">
      <alignment horizontal="left" indent="1"/>
    </xf>
    <xf numFmtId="167" fontId="13" fillId="5" borderId="10" xfId="0" applyNumberFormat="1" applyFont="1" applyFill="1" applyBorder="1" applyAlignment="1">
      <alignment horizontal="center"/>
    </xf>
    <xf numFmtId="0" fontId="5" fillId="7" borderId="9" xfId="0" applyFont="1" applyFill="1" applyBorder="1" applyAlignment="1">
      <alignment horizontal="center" wrapText="1"/>
    </xf>
    <xf numFmtId="0" fontId="0" fillId="0" borderId="0" xfId="0" applyAlignment="1">
      <alignment horizontal="center"/>
    </xf>
    <xf numFmtId="0" fontId="13" fillId="5" borderId="11" xfId="0" applyFont="1" applyFill="1" applyBorder="1"/>
    <xf numFmtId="0" fontId="0" fillId="5" borderId="0" xfId="0" applyFill="1" applyAlignment="1">
      <alignment horizontal="center"/>
    </xf>
    <xf numFmtId="0" fontId="0" fillId="5" borderId="0" xfId="0" applyFill="1" applyAlignment="1">
      <alignment vertical="center" wrapText="1"/>
    </xf>
    <xf numFmtId="14" fontId="3" fillId="6" borderId="4" xfId="0" applyNumberFormat="1" applyFont="1" applyFill="1" applyBorder="1" applyAlignment="1" applyProtection="1">
      <alignment horizontal="right" indent="1"/>
      <protection locked="0"/>
    </xf>
    <xf numFmtId="14" fontId="3" fillId="6" borderId="5" xfId="2" applyNumberFormat="1" applyFont="1" applyFill="1" applyBorder="1" applyAlignment="1" applyProtection="1">
      <alignment horizontal="right" indent="1"/>
      <protection locked="0"/>
    </xf>
    <xf numFmtId="0" fontId="19" fillId="8" borderId="0" xfId="0" applyFont="1" applyFill="1" applyAlignment="1">
      <alignment horizontal="left" vertical="center" wrapText="1" indent="1"/>
    </xf>
    <xf numFmtId="0" fontId="21" fillId="8" borderId="0" xfId="0" applyFont="1" applyFill="1" applyAlignment="1">
      <alignment horizontal="left" vertical="center" wrapText="1"/>
    </xf>
    <xf numFmtId="1" fontId="13" fillId="5" borderId="11" xfId="0" applyNumberFormat="1" applyFont="1" applyFill="1" applyBorder="1"/>
    <xf numFmtId="0" fontId="27" fillId="8" borderId="0" xfId="0" applyFont="1" applyFill="1" applyAlignment="1">
      <alignment horizontal="left" vertical="center" indent="1"/>
    </xf>
    <xf numFmtId="0" fontId="0" fillId="4" borderId="0" xfId="0" applyFill="1" applyAlignment="1">
      <alignment horizontal="left" vertical="center" wrapText="1"/>
    </xf>
    <xf numFmtId="0" fontId="30" fillId="5" borderId="0" xfId="0" applyFont="1" applyFill="1"/>
    <xf numFmtId="0" fontId="31" fillId="5" borderId="0" xfId="0" applyFont="1" applyFill="1"/>
    <xf numFmtId="167" fontId="31" fillId="5" borderId="10" xfId="3" applyNumberFormat="1" applyFont="1" applyFill="1" applyBorder="1" applyAlignment="1">
      <alignment horizontal="left"/>
    </xf>
    <xf numFmtId="0" fontId="33" fillId="4" borderId="0" xfId="0" applyFont="1" applyFill="1" applyAlignment="1">
      <alignment horizontal="left" vertical="center"/>
    </xf>
    <xf numFmtId="0" fontId="36" fillId="4" borderId="0" xfId="0" applyFont="1" applyFill="1" applyAlignment="1">
      <alignment horizontal="left" vertical="center"/>
    </xf>
    <xf numFmtId="0" fontId="29" fillId="5" borderId="0" xfId="0" applyFont="1" applyFill="1" applyAlignment="1">
      <alignment vertical="center" wrapText="1"/>
    </xf>
    <xf numFmtId="0" fontId="29" fillId="5" borderId="0" xfId="0" applyFont="1" applyFill="1" applyAlignment="1">
      <alignment horizontal="right" vertical="center" wrapText="1"/>
    </xf>
    <xf numFmtId="0" fontId="4" fillId="5" borderId="0" xfId="0" applyFont="1" applyFill="1"/>
    <xf numFmtId="0" fontId="4" fillId="5" borderId="0" xfId="0" applyFont="1" applyFill="1" applyAlignment="1">
      <alignment horizontal="left" indent="2"/>
    </xf>
    <xf numFmtId="0" fontId="3" fillId="5" borderId="0" xfId="0" applyFont="1" applyFill="1" applyAlignment="1">
      <alignment horizontal="left" wrapText="1" indent="3"/>
    </xf>
    <xf numFmtId="0" fontId="9" fillId="5" borderId="0" xfId="3" applyFill="1" applyAlignment="1">
      <alignment horizontal="left" wrapText="1" indent="3"/>
    </xf>
    <xf numFmtId="0" fontId="3" fillId="5" borderId="0" xfId="0" applyFont="1" applyFill="1" applyAlignment="1">
      <alignment horizontal="left" vertical="center" wrapText="1" indent="3"/>
    </xf>
    <xf numFmtId="0" fontId="38" fillId="5" borderId="0" xfId="0" applyFont="1" applyFill="1" applyAlignment="1">
      <alignment horizontal="left" indent="2"/>
    </xf>
    <xf numFmtId="164" fontId="13" fillId="5" borderId="11" xfId="2" applyNumberFormat="1" applyFont="1" applyFill="1" applyBorder="1"/>
    <xf numFmtId="164" fontId="13" fillId="5" borderId="0" xfId="2" applyNumberFormat="1" applyFont="1" applyFill="1" applyBorder="1"/>
    <xf numFmtId="9" fontId="13" fillId="5" borderId="10" xfId="0" applyNumberFormat="1" applyFont="1" applyFill="1" applyBorder="1" applyAlignment="1">
      <alignment horizontal="left" indent="1"/>
    </xf>
    <xf numFmtId="10" fontId="13" fillId="5" borderId="10" xfId="0" applyNumberFormat="1" applyFont="1" applyFill="1" applyBorder="1" applyAlignment="1">
      <alignment horizontal="left" indent="1"/>
    </xf>
    <xf numFmtId="164" fontId="13" fillId="5" borderId="10" xfId="2" applyNumberFormat="1" applyFont="1" applyFill="1" applyBorder="1" applyAlignment="1">
      <alignment horizontal="left" indent="1"/>
    </xf>
    <xf numFmtId="0" fontId="31" fillId="5" borderId="0" xfId="0" applyFont="1" applyFill="1" applyAlignment="1">
      <alignment horizontal="left" wrapText="1" indent="3"/>
    </xf>
    <xf numFmtId="165" fontId="3" fillId="6" borderId="7" xfId="2" applyNumberFormat="1" applyFont="1" applyFill="1" applyBorder="1" applyAlignment="1" applyProtection="1">
      <alignment horizontal="center" vertical="center"/>
      <protection locked="0"/>
    </xf>
    <xf numFmtId="165" fontId="3" fillId="6" borderId="1" xfId="2" applyNumberFormat="1" applyFont="1" applyFill="1" applyBorder="1" applyAlignment="1" applyProtection="1">
      <alignment horizontal="center" vertical="center"/>
      <protection locked="0"/>
    </xf>
    <xf numFmtId="164" fontId="3" fillId="6" borderId="7" xfId="2" applyNumberFormat="1" applyFont="1" applyFill="1" applyBorder="1" applyAlignment="1" applyProtection="1">
      <alignment horizontal="center" vertical="center"/>
      <protection locked="0"/>
    </xf>
    <xf numFmtId="1" fontId="3" fillId="6" borderId="7" xfId="2" applyNumberFormat="1" applyFont="1" applyFill="1" applyBorder="1" applyAlignment="1" applyProtection="1">
      <alignment horizontal="center" vertical="center"/>
      <protection locked="0"/>
    </xf>
    <xf numFmtId="0" fontId="0" fillId="4" borderId="0" xfId="0" applyFill="1" applyAlignment="1">
      <alignment horizontal="center" vertical="center"/>
    </xf>
    <xf numFmtId="0" fontId="51" fillId="5" borderId="0" xfId="0" applyFont="1" applyFill="1" applyAlignment="1">
      <alignment horizontal="left" wrapText="1" indent="3"/>
    </xf>
    <xf numFmtId="0" fontId="52" fillId="0" borderId="0" xfId="0" applyFont="1"/>
    <xf numFmtId="0" fontId="48" fillId="0" borderId="0" xfId="0" applyFont="1" applyAlignment="1" applyProtection="1">
      <alignment horizontal="right" indent="2"/>
      <protection locked="0"/>
      <extLst>
        <ext xmlns:xfpb="http://schemas.microsoft.com/office/spreadsheetml/2022/featurepropertybag" uri="{C7286773-470A-42A8-94C5-96B5CB345126}">
          <xfpb:xfComplement i="0"/>
        </ext>
      </extLst>
    </xf>
    <xf numFmtId="0" fontId="53" fillId="0" borderId="0" xfId="0" applyFont="1"/>
    <xf numFmtId="0" fontId="0" fillId="5" borderId="0" xfId="0" applyFill="1" applyAlignment="1">
      <alignment horizontal="center" vertical="center" wrapText="1"/>
    </xf>
    <xf numFmtId="0" fontId="0" fillId="2" borderId="25" xfId="0" applyFill="1" applyBorder="1" applyAlignment="1">
      <alignment vertical="center" wrapText="1"/>
    </xf>
    <xf numFmtId="0" fontId="0" fillId="2" borderId="26" xfId="0" applyFill="1" applyBorder="1" applyAlignment="1">
      <alignment vertical="center" wrapText="1"/>
    </xf>
    <xf numFmtId="0" fontId="0" fillId="2" borderId="27" xfId="0" applyFill="1" applyBorder="1" applyAlignment="1">
      <alignment vertical="center" wrapText="1"/>
    </xf>
    <xf numFmtId="0" fontId="0" fillId="2" borderId="28" xfId="0" applyFill="1" applyBorder="1" applyAlignment="1">
      <alignment vertical="center" wrapText="1"/>
    </xf>
    <xf numFmtId="0" fontId="0" fillId="2" borderId="29" xfId="0" applyFill="1" applyBorder="1" applyAlignment="1">
      <alignment vertical="center" wrapText="1"/>
    </xf>
    <xf numFmtId="0" fontId="0" fillId="2" borderId="30" xfId="0" applyFill="1" applyBorder="1" applyAlignment="1">
      <alignment vertical="center" wrapText="1"/>
    </xf>
    <xf numFmtId="0" fontId="24" fillId="2" borderId="28" xfId="0" applyFont="1" applyFill="1" applyBorder="1" applyAlignment="1">
      <alignment horizontal="right" vertical="center"/>
    </xf>
    <xf numFmtId="0" fontId="9" fillId="2" borderId="29" xfId="3" applyFill="1" applyBorder="1" applyAlignment="1">
      <alignment horizontal="left" vertical="center"/>
    </xf>
    <xf numFmtId="0" fontId="23" fillId="2" borderId="29" xfId="0" applyFont="1" applyFill="1" applyBorder="1" applyAlignment="1">
      <alignment horizontal="left" vertical="center"/>
    </xf>
    <xf numFmtId="0" fontId="0" fillId="0" borderId="29" xfId="0" applyBorder="1"/>
    <xf numFmtId="0" fontId="23" fillId="2" borderId="30" xfId="0" applyFont="1" applyFill="1" applyBorder="1" applyAlignment="1">
      <alignment horizontal="left" vertical="center"/>
    </xf>
    <xf numFmtId="0" fontId="25" fillId="2" borderId="28" xfId="0" applyFont="1" applyFill="1" applyBorder="1" applyAlignment="1">
      <alignment horizontal="right" vertical="center"/>
    </xf>
    <xf numFmtId="0" fontId="0" fillId="2" borderId="30" xfId="0" applyFill="1" applyBorder="1" applyAlignment="1">
      <alignment horizontal="center"/>
    </xf>
    <xf numFmtId="0" fontId="23" fillId="2" borderId="28" xfId="0" applyFont="1" applyFill="1" applyBorder="1" applyAlignment="1">
      <alignment horizontal="right" vertical="center"/>
    </xf>
    <xf numFmtId="0" fontId="0" fillId="2" borderId="31" xfId="0" applyFill="1" applyBorder="1" applyAlignment="1">
      <alignment vertical="center" wrapText="1"/>
    </xf>
    <xf numFmtId="0" fontId="0" fillId="2" borderId="32" xfId="0" applyFill="1" applyBorder="1" applyAlignment="1">
      <alignment vertical="center" wrapText="1"/>
    </xf>
    <xf numFmtId="0" fontId="0" fillId="2" borderId="33" xfId="0" applyFill="1" applyBorder="1" applyAlignment="1">
      <alignment vertical="center" wrapText="1"/>
    </xf>
    <xf numFmtId="0" fontId="9" fillId="2" borderId="29" xfId="3" applyFill="1" applyBorder="1" applyAlignment="1">
      <alignment horizontal="left" vertical="center" indent="3"/>
    </xf>
    <xf numFmtId="0" fontId="23" fillId="2" borderId="29" xfId="0" applyFont="1" applyFill="1" applyBorder="1" applyAlignment="1">
      <alignment horizontal="left" vertical="center" indent="3"/>
    </xf>
    <xf numFmtId="167" fontId="13" fillId="13" borderId="9" xfId="0" applyNumberFormat="1" applyFont="1" applyFill="1" applyBorder="1" applyAlignment="1">
      <alignment horizontal="center"/>
    </xf>
    <xf numFmtId="167" fontId="13" fillId="13" borderId="10" xfId="0" applyNumberFormat="1" applyFont="1" applyFill="1" applyBorder="1" applyAlignment="1">
      <alignment horizontal="center"/>
    </xf>
    <xf numFmtId="0" fontId="5" fillId="7" borderId="9" xfId="0" applyFont="1" applyFill="1" applyBorder="1" applyAlignment="1">
      <alignment horizontal="center"/>
    </xf>
    <xf numFmtId="0" fontId="38" fillId="0" borderId="16" xfId="0" applyFont="1" applyBorder="1" applyAlignment="1" applyProtection="1">
      <alignment vertical="top" wrapText="1"/>
      <protection hidden="1"/>
    </xf>
    <xf numFmtId="0" fontId="38" fillId="0" borderId="17" xfId="0" applyFont="1" applyBorder="1" applyAlignment="1" applyProtection="1">
      <alignment vertical="top" wrapText="1"/>
      <protection hidden="1"/>
    </xf>
    <xf numFmtId="1" fontId="3" fillId="2" borderId="46" xfId="2" applyNumberFormat="1" applyFont="1" applyFill="1" applyBorder="1" applyAlignment="1" applyProtection="1">
      <alignment horizontal="right" indent="1"/>
      <protection locked="0"/>
    </xf>
    <xf numFmtId="0" fontId="48"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14" fontId="3" fillId="6" borderId="51" xfId="0" applyNumberFormat="1" applyFont="1" applyFill="1" applyBorder="1" applyAlignment="1" applyProtection="1">
      <alignment horizontal="center" vertical="center"/>
      <protection locked="0"/>
    </xf>
    <xf numFmtId="167" fontId="3" fillId="6" borderId="7" xfId="0" applyNumberFormat="1" applyFont="1" applyFill="1" applyBorder="1" applyAlignment="1" applyProtection="1">
      <alignment horizontal="left" vertical="center" indent="1"/>
      <protection locked="0"/>
    </xf>
    <xf numFmtId="0" fontId="5" fillId="7" borderId="57" xfId="0" applyFont="1" applyFill="1" applyBorder="1" applyAlignment="1">
      <alignment wrapText="1"/>
    </xf>
    <xf numFmtId="167" fontId="9" fillId="5" borderId="12" xfId="3" applyNumberFormat="1" applyFill="1" applyBorder="1" applyAlignment="1">
      <alignment horizontal="right"/>
    </xf>
    <xf numFmtId="0" fontId="0" fillId="5" borderId="12" xfId="0" applyFill="1" applyBorder="1"/>
    <xf numFmtId="0" fontId="5" fillId="7" borderId="10" xfId="0" applyFont="1" applyFill="1" applyBorder="1" applyAlignment="1">
      <alignment wrapText="1"/>
    </xf>
    <xf numFmtId="167" fontId="31" fillId="5" borderId="12" xfId="3" applyNumberFormat="1" applyFont="1" applyFill="1" applyBorder="1" applyAlignment="1">
      <alignment horizontal="left"/>
    </xf>
    <xf numFmtId="0" fontId="10" fillId="4" borderId="0" xfId="0" applyFont="1" applyFill="1" applyAlignment="1">
      <alignment horizontal="center" vertical="center"/>
    </xf>
    <xf numFmtId="0" fontId="21" fillId="8" borderId="0" xfId="0" applyFont="1" applyFill="1" applyAlignment="1">
      <alignment horizontal="center" vertical="center" wrapText="1"/>
    </xf>
    <xf numFmtId="0" fontId="0" fillId="2" borderId="29" xfId="0" applyFill="1" applyBorder="1" applyAlignment="1">
      <alignment horizontal="center" vertical="center" wrapText="1"/>
    </xf>
    <xf numFmtId="0" fontId="0" fillId="2" borderId="29" xfId="0" applyFill="1" applyBorder="1" applyAlignment="1">
      <alignment horizontal="right" vertical="center" wrapText="1" indent="1"/>
    </xf>
    <xf numFmtId="0" fontId="0" fillId="2" borderId="29" xfId="0" applyFill="1" applyBorder="1" applyAlignment="1">
      <alignment vertical="center"/>
    </xf>
    <xf numFmtId="0" fontId="0" fillId="2" borderId="30" xfId="0" applyFill="1" applyBorder="1" applyAlignment="1">
      <alignment horizontal="right" vertical="center" wrapText="1" indent="1"/>
    </xf>
    <xf numFmtId="166" fontId="3" fillId="6" borderId="29" xfId="0" applyNumberFormat="1" applyFont="1" applyFill="1" applyBorder="1" applyAlignment="1" applyProtection="1">
      <alignment horizontal="center" vertical="center"/>
      <protection locked="0"/>
    </xf>
    <xf numFmtId="0" fontId="0" fillId="2" borderId="29" xfId="0" applyFill="1" applyBorder="1" applyAlignment="1">
      <alignment vertical="top" wrapText="1"/>
    </xf>
    <xf numFmtId="0" fontId="0" fillId="2" borderId="26" xfId="0" applyFill="1" applyBorder="1" applyAlignment="1">
      <alignment vertical="center"/>
    </xf>
    <xf numFmtId="0" fontId="0" fillId="0" borderId="26" xfId="0" applyBorder="1"/>
    <xf numFmtId="0" fontId="0" fillId="2" borderId="27" xfId="0" applyFill="1" applyBorder="1" applyAlignment="1">
      <alignment horizontal="center" vertical="center" wrapText="1"/>
    </xf>
    <xf numFmtId="0" fontId="0" fillId="2" borderId="30" xfId="0" applyFill="1" applyBorder="1" applyAlignment="1">
      <alignment horizontal="center" vertical="center" wrapText="1"/>
    </xf>
    <xf numFmtId="0" fontId="0" fillId="0" borderId="30" xfId="0" applyBorder="1" applyAlignment="1">
      <alignment horizontal="center"/>
    </xf>
    <xf numFmtId="0" fontId="0" fillId="2" borderId="33" xfId="0" applyFill="1" applyBorder="1" applyAlignment="1">
      <alignment horizontal="center" vertical="center" wrapText="1"/>
    </xf>
    <xf numFmtId="0" fontId="29" fillId="5" borderId="0" xfId="0" applyFont="1" applyFill="1" applyAlignment="1">
      <alignment vertical="center"/>
    </xf>
    <xf numFmtId="0" fontId="36" fillId="4" borderId="0" xfId="0" applyFont="1" applyFill="1" applyAlignment="1">
      <alignment horizontal="center" vertical="center"/>
    </xf>
    <xf numFmtId="0" fontId="9" fillId="2" borderId="30" xfId="3" applyFill="1" applyBorder="1" applyAlignment="1">
      <alignment horizontal="left" vertical="center"/>
    </xf>
    <xf numFmtId="173" fontId="3" fillId="6" borderId="7" xfId="0" applyNumberFormat="1" applyFont="1" applyFill="1" applyBorder="1" applyAlignment="1" applyProtection="1">
      <alignment horizontal="right" vertical="center" indent="1"/>
      <protection locked="0"/>
    </xf>
    <xf numFmtId="173" fontId="3" fillId="6" borderId="1" xfId="0" applyNumberFormat="1" applyFont="1" applyFill="1" applyBorder="1" applyAlignment="1" applyProtection="1">
      <alignment horizontal="right" vertical="center" indent="1"/>
      <protection locked="0"/>
    </xf>
    <xf numFmtId="173" fontId="3" fillId="6" borderId="3" xfId="0" applyNumberFormat="1" applyFont="1" applyFill="1" applyBorder="1" applyAlignment="1" applyProtection="1">
      <alignment horizontal="right" vertical="center" indent="1"/>
      <protection locked="0"/>
    </xf>
    <xf numFmtId="168" fontId="3" fillId="6" borderId="0" xfId="0" applyNumberFormat="1" applyFont="1" applyFill="1" applyAlignment="1" applyProtection="1">
      <alignment horizontal="right" indent="1"/>
      <protection locked="0"/>
    </xf>
    <xf numFmtId="0" fontId="0" fillId="2" borderId="29" xfId="0" applyFill="1" applyBorder="1" applyAlignment="1">
      <alignment horizontal="center" vertical="top" wrapText="1"/>
    </xf>
    <xf numFmtId="167" fontId="28" fillId="4" borderId="29" xfId="0" applyNumberFormat="1" applyFont="1" applyFill="1" applyBorder="1" applyAlignment="1">
      <alignment horizontal="center" vertical="center"/>
    </xf>
    <xf numFmtId="0" fontId="0" fillId="2" borderId="50" xfId="0" applyFill="1" applyBorder="1" applyAlignment="1">
      <alignment horizontal="left" vertical="center"/>
    </xf>
    <xf numFmtId="0" fontId="0" fillId="0" borderId="0" xfId="0" applyAlignment="1">
      <alignment wrapText="1"/>
    </xf>
    <xf numFmtId="0" fontId="22" fillId="0" borderId="29" xfId="0" applyFont="1" applyBorder="1" applyAlignment="1">
      <alignment horizontal="center"/>
    </xf>
    <xf numFmtId="0" fontId="0" fillId="2" borderId="26" xfId="0" applyFill="1" applyBorder="1" applyAlignment="1">
      <alignment horizontal="center" vertical="top" wrapText="1"/>
    </xf>
    <xf numFmtId="0" fontId="91" fillId="2" borderId="67" xfId="0" applyFont="1" applyFill="1" applyBorder="1" applyAlignment="1">
      <alignment horizontal="left" vertical="top" wrapText="1" indent="1"/>
    </xf>
    <xf numFmtId="1" fontId="3" fillId="6" borderId="4" xfId="2" applyNumberFormat="1" applyFont="1" applyFill="1" applyBorder="1" applyAlignment="1" applyProtection="1">
      <alignment horizontal="right" indent="1"/>
      <protection locked="0"/>
    </xf>
    <xf numFmtId="0" fontId="0" fillId="4" borderId="0" xfId="0" applyFill="1" applyAlignment="1" applyProtection="1">
      <alignment horizontal="left" vertical="center"/>
      <protection hidden="1"/>
    </xf>
    <xf numFmtId="0" fontId="3" fillId="4" borderId="0" xfId="0" applyFont="1" applyFill="1" applyAlignment="1" applyProtection="1">
      <alignment horizontal="left" vertical="center"/>
      <protection hidden="1"/>
    </xf>
    <xf numFmtId="0" fontId="67" fillId="4" borderId="0" xfId="0" applyFont="1" applyFill="1" applyAlignment="1" applyProtection="1">
      <alignment horizontal="left" vertical="center"/>
      <protection hidden="1"/>
    </xf>
    <xf numFmtId="0" fontId="14" fillId="4" borderId="0" xfId="0" applyFont="1" applyFill="1" applyAlignment="1" applyProtection="1">
      <alignment horizontal="left" vertical="center"/>
      <protection hidden="1"/>
    </xf>
    <xf numFmtId="0" fontId="35" fillId="4" borderId="0" xfId="0" applyFont="1" applyFill="1" applyAlignment="1" applyProtection="1">
      <alignment horizontal="left" vertical="center"/>
      <protection hidden="1"/>
    </xf>
    <xf numFmtId="0" fontId="0" fillId="4" borderId="0" xfId="0" applyFill="1" applyAlignment="1" applyProtection="1">
      <alignment horizontal="center" vertical="center"/>
      <protection hidden="1"/>
    </xf>
    <xf numFmtId="0" fontId="0" fillId="0" borderId="0" xfId="0" applyProtection="1">
      <protection hidden="1"/>
    </xf>
    <xf numFmtId="0" fontId="29" fillId="4" borderId="0" xfId="0" applyFont="1" applyFill="1" applyAlignment="1" applyProtection="1">
      <alignment horizontal="left" vertical="center"/>
      <protection hidden="1"/>
    </xf>
    <xf numFmtId="0" fontId="78" fillId="2" borderId="0" xfId="0" applyFont="1" applyFill="1" applyAlignment="1" applyProtection="1">
      <alignment horizontal="center" vertical="center"/>
      <protection hidden="1"/>
    </xf>
    <xf numFmtId="0" fontId="40" fillId="4" borderId="0" xfId="0" applyFont="1" applyFill="1" applyAlignment="1" applyProtection="1">
      <alignment horizontal="left" vertical="center"/>
      <protection hidden="1"/>
    </xf>
    <xf numFmtId="0" fontId="40" fillId="4" borderId="0" xfId="0" applyFont="1" applyFill="1" applyAlignment="1" applyProtection="1">
      <alignment horizontal="left"/>
      <protection hidden="1"/>
    </xf>
    <xf numFmtId="0" fontId="82" fillId="4" borderId="0" xfId="0" applyFont="1" applyFill="1" applyAlignment="1" applyProtection="1">
      <alignment horizontal="left" vertical="center"/>
      <protection hidden="1"/>
    </xf>
    <xf numFmtId="0" fontId="50" fillId="4" borderId="0" xfId="0" applyFont="1" applyFill="1" applyAlignment="1" applyProtection="1">
      <alignment horizontal="left" vertical="center"/>
      <protection hidden="1"/>
    </xf>
    <xf numFmtId="0" fontId="80" fillId="4" borderId="0" xfId="0" applyFont="1" applyFill="1" applyAlignment="1" applyProtection="1">
      <alignment horizontal="left" vertical="center"/>
      <protection hidden="1"/>
    </xf>
    <xf numFmtId="0" fontId="87" fillId="4" borderId="0" xfId="0" applyFont="1" applyFill="1" applyAlignment="1" applyProtection="1">
      <alignment horizontal="left" vertical="top"/>
      <protection hidden="1"/>
    </xf>
    <xf numFmtId="0" fontId="102" fillId="4" borderId="0" xfId="0" applyFont="1" applyFill="1" applyAlignment="1" applyProtection="1">
      <alignment horizontal="left" vertical="top"/>
      <protection hidden="1"/>
    </xf>
    <xf numFmtId="0" fontId="98" fillId="4" borderId="0" xfId="0" applyFont="1" applyFill="1" applyAlignment="1" applyProtection="1">
      <alignment horizontal="left" vertical="top"/>
      <protection hidden="1"/>
    </xf>
    <xf numFmtId="0" fontId="103" fillId="4" borderId="0" xfId="0" applyFont="1" applyFill="1" applyAlignment="1" applyProtection="1">
      <alignment horizontal="left" vertical="top"/>
      <protection hidden="1"/>
    </xf>
    <xf numFmtId="0" fontId="104" fillId="4" borderId="0" xfId="0" applyFont="1" applyFill="1" applyAlignment="1" applyProtection="1">
      <alignment horizontal="left" vertical="top"/>
      <protection hidden="1"/>
    </xf>
    <xf numFmtId="0" fontId="105" fillId="4" borderId="0" xfId="0" applyFont="1" applyFill="1" applyAlignment="1" applyProtection="1">
      <alignment horizontal="left" vertical="top"/>
      <protection hidden="1"/>
    </xf>
    <xf numFmtId="0" fontId="0" fillId="5" borderId="0" xfId="0" applyFill="1" applyProtection="1">
      <protection hidden="1"/>
    </xf>
    <xf numFmtId="0" fontId="43" fillId="8" borderId="0" xfId="0" applyFont="1" applyFill="1" applyProtection="1">
      <protection hidden="1"/>
    </xf>
    <xf numFmtId="0" fontId="45" fillId="8" borderId="0" xfId="0" applyFont="1" applyFill="1" applyProtection="1">
      <protection hidden="1"/>
    </xf>
    <xf numFmtId="0" fontId="44" fillId="8" borderId="0" xfId="0" applyFont="1" applyFill="1" applyProtection="1">
      <protection hidden="1"/>
    </xf>
    <xf numFmtId="0" fontId="46" fillId="8" borderId="0" xfId="0" applyFont="1" applyFill="1" applyProtection="1">
      <protection hidden="1"/>
    </xf>
    <xf numFmtId="0" fontId="42" fillId="8" borderId="0" xfId="0" applyFont="1" applyFill="1" applyProtection="1">
      <protection hidden="1"/>
    </xf>
    <xf numFmtId="0" fontId="0" fillId="8" borderId="0" xfId="0" applyFill="1" applyProtection="1">
      <protection hidden="1"/>
    </xf>
    <xf numFmtId="0" fontId="0" fillId="8" borderId="0" xfId="0" applyFill="1" applyAlignment="1" applyProtection="1">
      <alignment horizontal="left" vertical="center"/>
      <protection hidden="1"/>
    </xf>
    <xf numFmtId="0" fontId="2" fillId="8" borderId="0" xfId="0" applyFont="1" applyFill="1" applyProtection="1">
      <protection hidden="1"/>
    </xf>
    <xf numFmtId="0" fontId="21" fillId="8" borderId="0" xfId="0" applyFont="1" applyFill="1" applyAlignment="1" applyProtection="1">
      <alignment horizontal="left" vertical="top" wrapText="1"/>
      <protection hidden="1"/>
    </xf>
    <xf numFmtId="0" fontId="17" fillId="8" borderId="0" xfId="0" applyFont="1" applyFill="1" applyAlignment="1" applyProtection="1">
      <alignment horizontal="left" vertical="center" indent="1"/>
      <protection hidden="1"/>
    </xf>
    <xf numFmtId="0" fontId="21" fillId="8" borderId="0" xfId="0" applyFont="1" applyFill="1" applyAlignment="1" applyProtection="1">
      <alignment vertical="top" wrapText="1"/>
      <protection hidden="1"/>
    </xf>
    <xf numFmtId="0" fontId="14" fillId="8" borderId="0" xfId="0" applyFont="1" applyFill="1" applyAlignment="1" applyProtection="1">
      <alignment horizontal="left" vertical="center" wrapText="1" indent="1"/>
      <protection hidden="1"/>
    </xf>
    <xf numFmtId="0" fontId="26" fillId="8" borderId="0" xfId="0" applyFont="1" applyFill="1" applyAlignment="1" applyProtection="1">
      <alignment horizontal="left" vertical="center" wrapText="1"/>
      <protection hidden="1"/>
    </xf>
    <xf numFmtId="0" fontId="26" fillId="8" borderId="0" xfId="0" applyFont="1" applyFill="1" applyAlignment="1" applyProtection="1">
      <alignment vertical="top" wrapText="1"/>
      <protection hidden="1"/>
    </xf>
    <xf numFmtId="0" fontId="0" fillId="5" borderId="0" xfId="0" applyFill="1" applyAlignment="1" applyProtection="1">
      <alignment vertical="center" wrapText="1"/>
      <protection hidden="1"/>
    </xf>
    <xf numFmtId="0" fontId="14" fillId="5" borderId="0" xfId="0" applyFont="1" applyFill="1" applyAlignment="1" applyProtection="1">
      <alignment vertical="center" wrapText="1"/>
      <protection hidden="1"/>
    </xf>
    <xf numFmtId="0" fontId="0" fillId="5" borderId="0" xfId="0" applyFill="1" applyAlignment="1" applyProtection="1">
      <alignment vertical="center"/>
      <protection hidden="1"/>
    </xf>
    <xf numFmtId="0" fontId="4" fillId="2" borderId="33" xfId="0" applyFont="1" applyFill="1" applyBorder="1" applyProtection="1">
      <protection hidden="1"/>
    </xf>
    <xf numFmtId="0" fontId="4" fillId="2" borderId="48" xfId="0" applyFont="1" applyFill="1" applyBorder="1" applyProtection="1">
      <protection hidden="1"/>
    </xf>
    <xf numFmtId="0" fontId="22" fillId="0" borderId="48" xfId="0" applyFont="1" applyBorder="1" applyAlignment="1" applyProtection="1">
      <alignment horizontal="left" vertical="center"/>
      <protection hidden="1"/>
    </xf>
    <xf numFmtId="0" fontId="0" fillId="0" borderId="31" xfId="0" applyBorder="1" applyProtection="1">
      <protection hidden="1"/>
    </xf>
    <xf numFmtId="0" fontId="0" fillId="2" borderId="49" xfId="0" applyFill="1" applyBorder="1" applyProtection="1">
      <protection hidden="1"/>
    </xf>
    <xf numFmtId="0" fontId="0" fillId="2" borderId="0" xfId="0" applyFill="1" applyProtection="1">
      <protection hidden="1"/>
    </xf>
    <xf numFmtId="0" fontId="2" fillId="2" borderId="0" xfId="0" applyFont="1" applyFill="1" applyProtection="1">
      <protection hidden="1"/>
    </xf>
    <xf numFmtId="0" fontId="0" fillId="0" borderId="50" xfId="0" applyBorder="1" applyProtection="1">
      <protection hidden="1"/>
    </xf>
    <xf numFmtId="0" fontId="4" fillId="2" borderId="0" xfId="0" applyFont="1" applyFill="1" applyProtection="1">
      <protection hidden="1"/>
    </xf>
    <xf numFmtId="0" fontId="11" fillId="2" borderId="0" xfId="0" applyFont="1" applyFill="1" applyAlignment="1" applyProtection="1">
      <alignment horizontal="center" vertical="top" wrapText="1"/>
      <protection hidden="1"/>
    </xf>
    <xf numFmtId="0" fontId="3" fillId="2" borderId="0" xfId="0" applyFont="1" applyFill="1" applyAlignment="1" applyProtection="1">
      <alignment horizontal="right" vertical="top"/>
      <protection hidden="1"/>
    </xf>
    <xf numFmtId="0" fontId="4" fillId="2" borderId="50" xfId="0" applyFont="1" applyFill="1" applyBorder="1" applyAlignment="1" applyProtection="1">
      <alignment horizontal="center" vertical="top"/>
      <protection hidden="1"/>
    </xf>
    <xf numFmtId="0" fontId="0" fillId="5" borderId="0" xfId="0" applyFill="1" applyAlignment="1" applyProtection="1">
      <alignment horizontal="center" vertical="center"/>
      <protection hidden="1"/>
    </xf>
    <xf numFmtId="173" fontId="3" fillId="5" borderId="4" xfId="0" applyNumberFormat="1" applyFont="1" applyFill="1" applyBorder="1" applyAlignment="1" applyProtection="1">
      <alignment horizontal="right" vertical="center" indent="1"/>
      <protection hidden="1"/>
    </xf>
    <xf numFmtId="174" fontId="3" fillId="5" borderId="4" xfId="0" applyNumberFormat="1" applyFont="1" applyFill="1" applyBorder="1" applyAlignment="1" applyProtection="1">
      <alignment horizontal="right" vertical="center" indent="1"/>
      <protection hidden="1"/>
    </xf>
    <xf numFmtId="0" fontId="0" fillId="0" borderId="50" xfId="0" applyBorder="1" applyAlignment="1" applyProtection="1">
      <alignment horizontal="center" vertical="center"/>
      <protection hidden="1"/>
    </xf>
    <xf numFmtId="0" fontId="0" fillId="2" borderId="27" xfId="0" applyFill="1" applyBorder="1" applyAlignment="1" applyProtection="1">
      <alignment wrapText="1"/>
      <protection hidden="1"/>
    </xf>
    <xf numFmtId="0" fontId="0" fillId="2" borderId="34" xfId="0" applyFill="1" applyBorder="1" applyAlignment="1" applyProtection="1">
      <alignment wrapText="1"/>
      <protection hidden="1"/>
    </xf>
    <xf numFmtId="0" fontId="32" fillId="2" borderId="34" xfId="0" applyFont="1" applyFill="1" applyBorder="1" applyAlignment="1" applyProtection="1">
      <alignment vertical="top" wrapText="1"/>
      <protection hidden="1"/>
    </xf>
    <xf numFmtId="0" fontId="0" fillId="0" borderId="25" xfId="0" applyBorder="1" applyProtection="1">
      <protection hidden="1"/>
    </xf>
    <xf numFmtId="0" fontId="0" fillId="0" borderId="25" xfId="0" applyBorder="1" applyAlignment="1" applyProtection="1">
      <alignment horizontal="center"/>
      <protection hidden="1"/>
    </xf>
    <xf numFmtId="0" fontId="32" fillId="2" borderId="48" xfId="0" applyFont="1" applyFill="1" applyBorder="1" applyAlignment="1" applyProtection="1">
      <alignment horizontal="left" vertical="top" wrapText="1"/>
      <protection hidden="1"/>
    </xf>
    <xf numFmtId="0" fontId="4" fillId="2" borderId="49" xfId="0" applyFont="1" applyFill="1" applyBorder="1" applyProtection="1">
      <protection hidden="1"/>
    </xf>
    <xf numFmtId="0" fontId="13" fillId="0" borderId="50" xfId="0" applyFont="1" applyBorder="1" applyAlignment="1" applyProtection="1">
      <alignment vertical="top"/>
      <protection hidden="1"/>
    </xf>
    <xf numFmtId="0" fontId="67" fillId="17" borderId="63" xfId="0" applyFont="1" applyFill="1" applyBorder="1" applyProtection="1">
      <protection hidden="1"/>
    </xf>
    <xf numFmtId="0" fontId="68" fillId="11" borderId="12" xfId="0" applyFont="1" applyFill="1" applyBorder="1" applyAlignment="1" applyProtection="1">
      <alignment horizontal="left" indent="1"/>
      <protection hidden="1"/>
    </xf>
    <xf numFmtId="0" fontId="67" fillId="2" borderId="0" xfId="0" applyFont="1" applyFill="1" applyProtection="1">
      <protection hidden="1"/>
    </xf>
    <xf numFmtId="0" fontId="68" fillId="0" borderId="0" xfId="0" applyFont="1" applyAlignment="1" applyProtection="1">
      <alignment horizontal="left" indent="1"/>
      <protection hidden="1"/>
    </xf>
    <xf numFmtId="0" fontId="4" fillId="2" borderId="36" xfId="0" applyFont="1" applyFill="1" applyBorder="1" applyProtection="1">
      <protection hidden="1"/>
    </xf>
    <xf numFmtId="0" fontId="4" fillId="2" borderId="39" xfId="0" applyFont="1" applyFill="1" applyBorder="1" applyProtection="1">
      <protection hidden="1"/>
    </xf>
    <xf numFmtId="0" fontId="0" fillId="0" borderId="49" xfId="0" applyBorder="1" applyProtection="1">
      <protection hidden="1"/>
    </xf>
    <xf numFmtId="0" fontId="0" fillId="0" borderId="39" xfId="0" applyBorder="1" applyProtection="1">
      <protection hidden="1"/>
    </xf>
    <xf numFmtId="0" fontId="0" fillId="0" borderId="41" xfId="0" applyBorder="1" applyProtection="1">
      <protection hidden="1"/>
    </xf>
    <xf numFmtId="0" fontId="39" fillId="0" borderId="50" xfId="0" applyFont="1" applyBorder="1" applyAlignment="1" applyProtection="1">
      <alignment horizontal="left" vertical="top" wrapText="1"/>
      <protection hidden="1"/>
    </xf>
    <xf numFmtId="0" fontId="0" fillId="0" borderId="27" xfId="0" applyBorder="1" applyProtection="1">
      <protection hidden="1"/>
    </xf>
    <xf numFmtId="0" fontId="0" fillId="0" borderId="34" xfId="0" applyBorder="1" applyProtection="1">
      <protection hidden="1"/>
    </xf>
    <xf numFmtId="0" fontId="0" fillId="0" borderId="34" xfId="0" quotePrefix="1" applyBorder="1" applyProtection="1">
      <protection hidden="1"/>
    </xf>
    <xf numFmtId="44" fontId="0" fillId="0" borderId="34" xfId="0" applyNumberFormat="1" applyBorder="1" applyProtection="1">
      <protection hidden="1"/>
    </xf>
    <xf numFmtId="166" fontId="14" fillId="0" borderId="34" xfId="0" applyNumberFormat="1" applyFont="1" applyBorder="1" applyProtection="1">
      <protection hidden="1"/>
    </xf>
    <xf numFmtId="0" fontId="14" fillId="5" borderId="0" xfId="0" applyFont="1" applyFill="1" applyProtection="1">
      <protection hidden="1"/>
    </xf>
    <xf numFmtId="0" fontId="46" fillId="8" borderId="0" xfId="0" applyFont="1" applyFill="1" applyAlignment="1" applyProtection="1">
      <alignment horizontal="left" indent="1"/>
      <protection hidden="1"/>
    </xf>
    <xf numFmtId="0" fontId="0" fillId="8" borderId="0" xfId="0" applyFill="1" applyAlignment="1" applyProtection="1">
      <alignment horizontal="left" indent="1"/>
      <protection hidden="1"/>
    </xf>
    <xf numFmtId="0" fontId="47" fillId="15" borderId="0" xfId="0" applyFont="1" applyFill="1" applyAlignment="1" applyProtection="1">
      <alignment vertical="top" wrapText="1"/>
      <protection hidden="1"/>
    </xf>
    <xf numFmtId="0" fontId="95" fillId="15" borderId="0" xfId="0" applyFont="1" applyFill="1" applyAlignment="1" applyProtection="1">
      <alignment wrapText="1"/>
      <protection hidden="1"/>
    </xf>
    <xf numFmtId="0" fontId="21" fillId="8" borderId="0" xfId="0" applyFont="1" applyFill="1" applyAlignment="1" applyProtection="1">
      <alignment vertical="center" wrapText="1"/>
      <protection hidden="1"/>
    </xf>
    <xf numFmtId="0" fontId="61" fillId="8" borderId="0" xfId="0" applyFont="1" applyFill="1" applyAlignment="1" applyProtection="1">
      <alignment horizontal="left" vertical="center" wrapText="1"/>
      <protection hidden="1"/>
    </xf>
    <xf numFmtId="0" fontId="19" fillId="8" borderId="0" xfId="0" applyFont="1" applyFill="1" applyAlignment="1" applyProtection="1">
      <alignment horizontal="left" vertical="center" wrapText="1"/>
      <protection hidden="1"/>
    </xf>
    <xf numFmtId="0" fontId="16" fillId="8" borderId="0" xfId="0" applyFont="1" applyFill="1" applyAlignment="1" applyProtection="1">
      <alignment horizontal="left" vertical="center" wrapText="1"/>
      <protection hidden="1"/>
    </xf>
    <xf numFmtId="0" fontId="86" fillId="0" borderId="0" xfId="0" applyFont="1" applyAlignment="1" applyProtection="1">
      <alignment horizontal="left" vertical="top" wrapText="1"/>
      <protection hidden="1"/>
    </xf>
    <xf numFmtId="0" fontId="3" fillId="2" borderId="0" xfId="0" applyFont="1" applyFill="1" applyProtection="1">
      <protection hidden="1"/>
    </xf>
    <xf numFmtId="0" fontId="13" fillId="0" borderId="0" xfId="0" quotePrefix="1" applyFont="1" applyProtection="1">
      <protection hidden="1"/>
    </xf>
    <xf numFmtId="0" fontId="67" fillId="0" borderId="0" xfId="0" applyFont="1" applyProtection="1">
      <protection hidden="1"/>
    </xf>
    <xf numFmtId="0" fontId="29" fillId="0" borderId="0" xfId="0" applyFont="1" applyProtection="1">
      <protection hidden="1"/>
    </xf>
    <xf numFmtId="0" fontId="87" fillId="0" borderId="0" xfId="0" applyFont="1" applyAlignment="1" applyProtection="1">
      <alignment vertical="top"/>
      <protection hidden="1"/>
    </xf>
    <xf numFmtId="0" fontId="67" fillId="0" borderId="0" xfId="0" applyFont="1" applyAlignment="1" applyProtection="1">
      <alignment vertical="top"/>
      <protection hidden="1"/>
    </xf>
    <xf numFmtId="0" fontId="68" fillId="0" borderId="0" xfId="0" quotePrefix="1" applyFont="1" applyProtection="1">
      <protection hidden="1"/>
    </xf>
    <xf numFmtId="0" fontId="0" fillId="4" borderId="0" xfId="0" applyFill="1" applyAlignment="1" applyProtection="1">
      <alignment vertical="center"/>
      <protection hidden="1"/>
    </xf>
    <xf numFmtId="0" fontId="43" fillId="8" borderId="0" xfId="0" applyFont="1" applyFill="1" applyAlignment="1" applyProtection="1">
      <alignment vertical="center"/>
      <protection hidden="1"/>
    </xf>
    <xf numFmtId="0" fontId="67" fillId="8" borderId="0" xfId="0" applyFont="1" applyFill="1" applyAlignment="1" applyProtection="1">
      <alignment vertical="center"/>
      <protection hidden="1"/>
    </xf>
    <xf numFmtId="0" fontId="44" fillId="8" borderId="0" xfId="0" applyFont="1" applyFill="1" applyAlignment="1" applyProtection="1">
      <alignment vertical="center"/>
      <protection hidden="1"/>
    </xf>
    <xf numFmtId="0" fontId="0" fillId="0" borderId="0" xfId="0" applyAlignment="1" applyProtection="1">
      <alignment vertical="center"/>
      <protection hidden="1"/>
    </xf>
    <xf numFmtId="0" fontId="67" fillId="17" borderId="63" xfId="0" applyFont="1" applyFill="1" applyBorder="1" applyAlignment="1" applyProtection="1">
      <alignment horizontal="center" vertical="center"/>
      <protection hidden="1"/>
    </xf>
    <xf numFmtId="0" fontId="108" fillId="11" borderId="63" xfId="0" applyFont="1" applyFill="1" applyBorder="1" applyAlignment="1" applyProtection="1">
      <alignment horizontal="left" vertical="center" indent="1"/>
      <protection hidden="1"/>
    </xf>
    <xf numFmtId="0" fontId="67" fillId="11" borderId="54" xfId="0" applyFont="1" applyFill="1" applyBorder="1" applyAlignment="1" applyProtection="1">
      <alignment vertical="center"/>
      <protection hidden="1"/>
    </xf>
    <xf numFmtId="0" fontId="67" fillId="11" borderId="55" xfId="0" applyFont="1" applyFill="1" applyBorder="1" applyAlignment="1" applyProtection="1">
      <alignment vertical="center"/>
      <protection hidden="1"/>
    </xf>
    <xf numFmtId="0" fontId="21" fillId="8" borderId="0" xfId="0" applyFont="1" applyFill="1" applyAlignment="1" applyProtection="1">
      <alignment horizontal="left" vertical="center" wrapText="1"/>
      <protection hidden="1"/>
    </xf>
    <xf numFmtId="0" fontId="16" fillId="8" borderId="0" xfId="0" applyFont="1" applyFill="1" applyAlignment="1" applyProtection="1">
      <alignment vertical="center"/>
      <protection hidden="1"/>
    </xf>
    <xf numFmtId="0" fontId="26" fillId="8" borderId="0" xfId="0" applyFont="1" applyFill="1" applyAlignment="1" applyProtection="1">
      <alignment horizontal="right" vertical="center" wrapText="1"/>
      <protection hidden="1"/>
    </xf>
    <xf numFmtId="0" fontId="108" fillId="11" borderId="64" xfId="0" applyFont="1" applyFill="1" applyBorder="1" applyAlignment="1" applyProtection="1">
      <alignment horizontal="left" vertical="center" indent="1"/>
      <protection hidden="1"/>
    </xf>
    <xf numFmtId="0" fontId="67" fillId="11" borderId="65" xfId="0" applyFont="1" applyFill="1" applyBorder="1" applyAlignment="1" applyProtection="1">
      <alignment vertical="center"/>
      <protection hidden="1"/>
    </xf>
    <xf numFmtId="0" fontId="67" fillId="11" borderId="66" xfId="0" applyFont="1" applyFill="1" applyBorder="1" applyAlignment="1" applyProtection="1">
      <alignment vertical="center"/>
      <protection hidden="1"/>
    </xf>
    <xf numFmtId="0" fontId="67" fillId="17" borderId="12" xfId="0" applyFont="1" applyFill="1" applyBorder="1" applyAlignment="1" applyProtection="1">
      <alignment horizontal="center" vertical="center"/>
      <protection hidden="1"/>
    </xf>
    <xf numFmtId="0" fontId="108" fillId="11" borderId="53" xfId="0" applyFont="1" applyFill="1" applyBorder="1" applyAlignment="1" applyProtection="1">
      <alignment horizontal="left" vertical="center" indent="1"/>
      <protection hidden="1"/>
    </xf>
    <xf numFmtId="14" fontId="67" fillId="0" borderId="0" xfId="0" applyNumberFormat="1" applyFont="1" applyProtection="1">
      <protection hidden="1"/>
    </xf>
    <xf numFmtId="1" fontId="67" fillId="0" borderId="0" xfId="0" applyNumberFormat="1" applyFont="1" applyProtection="1">
      <protection hidden="1"/>
    </xf>
    <xf numFmtId="0" fontId="67" fillId="0" borderId="12" xfId="0" applyFont="1" applyBorder="1" applyProtection="1">
      <protection hidden="1"/>
    </xf>
    <xf numFmtId="0" fontId="67" fillId="11" borderId="12" xfId="0" applyFont="1" applyFill="1" applyBorder="1" applyAlignment="1" applyProtection="1">
      <alignment horizontal="center"/>
      <protection hidden="1"/>
    </xf>
    <xf numFmtId="166" fontId="3" fillId="2" borderId="0" xfId="0" applyNumberFormat="1" applyFont="1" applyFill="1" applyProtection="1">
      <protection hidden="1"/>
    </xf>
    <xf numFmtId="0" fontId="14" fillId="0" borderId="0" xfId="0" applyFont="1" applyAlignment="1" applyProtection="1">
      <alignment horizontal="left" indent="1"/>
      <protection hidden="1"/>
    </xf>
    <xf numFmtId="0" fontId="77" fillId="2" borderId="0" xfId="0" applyFont="1" applyFill="1" applyProtection="1">
      <protection hidden="1"/>
    </xf>
    <xf numFmtId="0" fontId="113" fillId="17" borderId="56" xfId="0" applyFont="1" applyFill="1" applyBorder="1" applyAlignment="1" applyProtection="1">
      <alignment horizontal="center" vertical="center"/>
      <protection hidden="1"/>
    </xf>
    <xf numFmtId="0" fontId="113" fillId="17" borderId="62" xfId="0" applyFont="1" applyFill="1" applyBorder="1" applyAlignment="1" applyProtection="1">
      <alignment horizontal="center" vertical="center"/>
      <protection hidden="1"/>
    </xf>
    <xf numFmtId="0" fontId="0" fillId="2" borderId="36" xfId="0" applyFill="1" applyBorder="1" applyProtection="1">
      <protection hidden="1"/>
    </xf>
    <xf numFmtId="0" fontId="3" fillId="2" borderId="37" xfId="0" applyFont="1" applyFill="1" applyBorder="1" applyProtection="1">
      <protection hidden="1"/>
    </xf>
    <xf numFmtId="14" fontId="3" fillId="2" borderId="37" xfId="0" applyNumberFormat="1" applyFont="1" applyFill="1" applyBorder="1" applyProtection="1">
      <protection hidden="1"/>
    </xf>
    <xf numFmtId="0" fontId="0" fillId="0" borderId="38" xfId="0" applyBorder="1" applyProtection="1">
      <protection hidden="1"/>
    </xf>
    <xf numFmtId="0" fontId="14" fillId="0" borderId="39" xfId="0" applyFont="1" applyBorder="1" applyAlignment="1" applyProtection="1">
      <alignment horizontal="left" indent="1"/>
      <protection hidden="1"/>
    </xf>
    <xf numFmtId="0" fontId="67" fillId="17" borderId="53" xfId="0" applyFont="1" applyFill="1" applyBorder="1" applyAlignment="1" applyProtection="1">
      <alignment horizontal="center"/>
      <protection hidden="1"/>
    </xf>
    <xf numFmtId="0" fontId="0" fillId="2" borderId="39" xfId="0" applyFill="1" applyBorder="1" applyProtection="1">
      <protection hidden="1"/>
    </xf>
    <xf numFmtId="0" fontId="0" fillId="0" borderId="40" xfId="0" applyBorder="1" applyProtection="1">
      <protection hidden="1"/>
    </xf>
    <xf numFmtId="0" fontId="3" fillId="2" borderId="0" xfId="0" applyFont="1" applyFill="1" applyAlignment="1" applyProtection="1">
      <alignment horizontal="left" indent="2"/>
      <protection hidden="1"/>
    </xf>
    <xf numFmtId="1" fontId="71" fillId="2" borderId="0" xfId="0" applyNumberFormat="1" applyFont="1" applyFill="1" applyAlignment="1" applyProtection="1">
      <alignment horizontal="center"/>
      <protection hidden="1"/>
    </xf>
    <xf numFmtId="0" fontId="67" fillId="10" borderId="12" xfId="0" applyFont="1" applyFill="1" applyBorder="1" applyProtection="1">
      <protection hidden="1"/>
    </xf>
    <xf numFmtId="14" fontId="67" fillId="11" borderId="12" xfId="0" applyNumberFormat="1" applyFont="1" applyFill="1" applyBorder="1" applyProtection="1">
      <protection hidden="1"/>
    </xf>
    <xf numFmtId="0" fontId="67" fillId="2" borderId="12" xfId="0" applyFont="1" applyFill="1" applyBorder="1" applyProtection="1">
      <protection hidden="1"/>
    </xf>
    <xf numFmtId="0" fontId="67" fillId="2" borderId="12" xfId="0" applyFont="1" applyFill="1" applyBorder="1" applyAlignment="1" applyProtection="1">
      <alignment horizontal="center" vertical="center"/>
      <protection hidden="1"/>
    </xf>
    <xf numFmtId="1" fontId="67" fillId="2" borderId="12" xfId="0" applyNumberFormat="1" applyFont="1" applyFill="1" applyBorder="1" applyAlignment="1" applyProtection="1">
      <alignment horizontal="center" vertical="center"/>
      <protection hidden="1"/>
    </xf>
    <xf numFmtId="0" fontId="0" fillId="2" borderId="41" xfId="0" applyFill="1" applyBorder="1" applyProtection="1">
      <protection hidden="1"/>
    </xf>
    <xf numFmtId="0" fontId="3" fillId="2" borderId="35" xfId="0" applyFont="1" applyFill="1" applyBorder="1" applyProtection="1">
      <protection hidden="1"/>
    </xf>
    <xf numFmtId="0" fontId="0" fillId="0" borderId="35" xfId="0" applyBorder="1" applyProtection="1">
      <protection hidden="1"/>
    </xf>
    <xf numFmtId="1" fontId="71" fillId="2" borderId="35" xfId="0" applyNumberFormat="1" applyFont="1" applyFill="1" applyBorder="1" applyAlignment="1" applyProtection="1">
      <alignment horizontal="center"/>
      <protection hidden="1"/>
    </xf>
    <xf numFmtId="0" fontId="14" fillId="0" borderId="42" xfId="0" applyFont="1" applyBorder="1" applyAlignment="1" applyProtection="1">
      <alignment horizontal="left" indent="1"/>
      <protection hidden="1"/>
    </xf>
    <xf numFmtId="0" fontId="67" fillId="17" borderId="56" xfId="0" applyFont="1" applyFill="1" applyBorder="1" applyAlignment="1" applyProtection="1">
      <alignment horizontal="left"/>
      <protection hidden="1"/>
    </xf>
    <xf numFmtId="0" fontId="67" fillId="17" borderId="56" xfId="0" applyFont="1" applyFill="1" applyBorder="1" applyAlignment="1" applyProtection="1">
      <alignment horizontal="center"/>
      <protection hidden="1"/>
    </xf>
    <xf numFmtId="0" fontId="67" fillId="17" borderId="62" xfId="0" applyFont="1" applyFill="1" applyBorder="1" applyAlignment="1" applyProtection="1">
      <alignment horizontal="center"/>
      <protection hidden="1"/>
    </xf>
    <xf numFmtId="0" fontId="0" fillId="0" borderId="37" xfId="0" applyBorder="1" applyProtection="1">
      <protection hidden="1"/>
    </xf>
    <xf numFmtId="0" fontId="67" fillId="17" borderId="53" xfId="0" applyFont="1" applyFill="1" applyBorder="1" applyAlignment="1" applyProtection="1">
      <alignment horizontal="left" vertical="center"/>
      <protection hidden="1"/>
    </xf>
    <xf numFmtId="0" fontId="67" fillId="17" borderId="53" xfId="0" applyFont="1" applyFill="1" applyBorder="1" applyAlignment="1" applyProtection="1">
      <alignment horizontal="right" vertical="center"/>
      <protection hidden="1"/>
    </xf>
    <xf numFmtId="174" fontId="3" fillId="5" borderId="4" xfId="2" applyNumberFormat="1" applyFont="1" applyFill="1" applyBorder="1" applyAlignment="1" applyProtection="1">
      <alignment horizontal="right" indent="1"/>
      <protection hidden="1"/>
    </xf>
    <xf numFmtId="171" fontId="67" fillId="11" borderId="12" xfId="4" applyNumberFormat="1" applyFont="1" applyFill="1" applyBorder="1" applyAlignment="1" applyProtection="1">
      <alignment horizontal="right" indent="1"/>
      <protection hidden="1"/>
    </xf>
    <xf numFmtId="0" fontId="67" fillId="2" borderId="12" xfId="0" applyFont="1" applyFill="1" applyBorder="1" applyAlignment="1" applyProtection="1">
      <alignment horizontal="center"/>
      <protection hidden="1"/>
    </xf>
    <xf numFmtId="174" fontId="3" fillId="5" borderId="2" xfId="2" applyNumberFormat="1" applyFont="1" applyFill="1" applyBorder="1" applyAlignment="1" applyProtection="1">
      <alignment horizontal="right" indent="1"/>
      <protection hidden="1"/>
    </xf>
    <xf numFmtId="166" fontId="3" fillId="2" borderId="40" xfId="0" applyNumberFormat="1" applyFont="1" applyFill="1" applyBorder="1" applyProtection="1">
      <protection hidden="1"/>
    </xf>
    <xf numFmtId="1" fontId="3" fillId="5" borderId="5" xfId="2" applyNumberFormat="1" applyFont="1" applyFill="1" applyBorder="1" applyAlignment="1" applyProtection="1">
      <alignment horizontal="right" indent="1"/>
      <protection hidden="1"/>
    </xf>
    <xf numFmtId="1" fontId="67" fillId="11" borderId="12" xfId="0" applyNumberFormat="1" applyFont="1" applyFill="1" applyBorder="1" applyAlignment="1" applyProtection="1">
      <alignment horizontal="right" indent="1"/>
      <protection hidden="1"/>
    </xf>
    <xf numFmtId="0" fontId="88" fillId="0" borderId="0" xfId="0" applyFont="1" applyAlignment="1" applyProtection="1">
      <alignment horizontal="left"/>
      <protection hidden="1"/>
    </xf>
    <xf numFmtId="0" fontId="67" fillId="17" borderId="56" xfId="0" applyFont="1" applyFill="1" applyBorder="1" applyAlignment="1" applyProtection="1">
      <alignment horizontal="left" vertical="center"/>
      <protection hidden="1"/>
    </xf>
    <xf numFmtId="0" fontId="67" fillId="17" borderId="56" xfId="0" applyFont="1" applyFill="1" applyBorder="1" applyAlignment="1" applyProtection="1">
      <alignment horizontal="right" vertical="center"/>
      <protection hidden="1"/>
    </xf>
    <xf numFmtId="166" fontId="3" fillId="5" borderId="0" xfId="2" applyNumberFormat="1" applyFont="1" applyFill="1" applyBorder="1" applyAlignment="1" applyProtection="1">
      <alignment horizontal="right" indent="1"/>
      <protection hidden="1"/>
    </xf>
    <xf numFmtId="44" fontId="3" fillId="5" borderId="0" xfId="2" applyNumberFormat="1" applyFont="1" applyFill="1" applyBorder="1" applyAlignment="1" applyProtection="1">
      <alignment horizontal="right" indent="1"/>
      <protection hidden="1"/>
    </xf>
    <xf numFmtId="0" fontId="67" fillId="11" borderId="12" xfId="0" applyFont="1" applyFill="1" applyBorder="1" applyAlignment="1" applyProtection="1">
      <alignment horizontal="right" indent="1"/>
      <protection hidden="1"/>
    </xf>
    <xf numFmtId="0" fontId="67" fillId="17" borderId="56" xfId="0" applyFont="1" applyFill="1" applyBorder="1" applyAlignment="1" applyProtection="1">
      <alignment horizontal="right" indent="1"/>
      <protection hidden="1"/>
    </xf>
    <xf numFmtId="0" fontId="3" fillId="2" borderId="0" xfId="0" applyFont="1" applyFill="1" applyAlignment="1" applyProtection="1">
      <alignment horizontal="right" indent="1"/>
      <protection hidden="1"/>
    </xf>
    <xf numFmtId="0" fontId="67" fillId="17" borderId="53" xfId="0" applyFont="1" applyFill="1" applyBorder="1" applyAlignment="1" applyProtection="1">
      <alignment horizontal="right" indent="1"/>
      <protection hidden="1"/>
    </xf>
    <xf numFmtId="0" fontId="0" fillId="4" borderId="13" xfId="0" applyFill="1" applyBorder="1" applyProtection="1">
      <protection hidden="1"/>
    </xf>
    <xf numFmtId="0" fontId="8" fillId="4" borderId="13" xfId="0" applyFont="1" applyFill="1" applyBorder="1" applyAlignment="1" applyProtection="1">
      <alignment horizontal="left" vertical="center"/>
      <protection hidden="1"/>
    </xf>
    <xf numFmtId="174" fontId="7" fillId="4" borderId="43" xfId="0" applyNumberFormat="1" applyFont="1" applyFill="1" applyBorder="1" applyAlignment="1" applyProtection="1">
      <alignment vertical="center"/>
      <protection hidden="1"/>
    </xf>
    <xf numFmtId="166" fontId="7" fillId="4" borderId="43" xfId="0" applyNumberFormat="1" applyFont="1" applyFill="1" applyBorder="1" applyAlignment="1" applyProtection="1">
      <alignment vertical="center"/>
      <protection hidden="1"/>
    </xf>
    <xf numFmtId="166" fontId="3" fillId="4" borderId="14" xfId="0" applyNumberFormat="1" applyFont="1" applyFill="1" applyBorder="1" applyProtection="1">
      <protection hidden="1"/>
    </xf>
    <xf numFmtId="166" fontId="3" fillId="2" borderId="35" xfId="0" applyNumberFormat="1" applyFont="1" applyFill="1" applyBorder="1" applyProtection="1">
      <protection hidden="1"/>
    </xf>
    <xf numFmtId="166" fontId="3" fillId="2" borderId="42" xfId="0" applyNumberFormat="1" applyFont="1" applyFill="1" applyBorder="1" applyProtection="1">
      <protection hidden="1"/>
    </xf>
    <xf numFmtId="166" fontId="3" fillId="2" borderId="38" xfId="0" applyNumberFormat="1" applyFont="1" applyFill="1" applyBorder="1" applyProtection="1">
      <protection hidden="1"/>
    </xf>
    <xf numFmtId="0" fontId="67" fillId="0" borderId="0" xfId="0" applyFont="1" applyAlignment="1" applyProtection="1">
      <alignment horizontal="center" vertical="center"/>
      <protection hidden="1"/>
    </xf>
    <xf numFmtId="0" fontId="0" fillId="0" borderId="33" xfId="0" applyBorder="1" applyProtection="1">
      <protection hidden="1"/>
    </xf>
    <xf numFmtId="0" fontId="0" fillId="0" borderId="48" xfId="0" applyBorder="1" applyProtection="1">
      <protection hidden="1"/>
    </xf>
    <xf numFmtId="44" fontId="0" fillId="0" borderId="48" xfId="0" applyNumberFormat="1" applyBorder="1" applyProtection="1">
      <protection hidden="1"/>
    </xf>
    <xf numFmtId="166" fontId="14" fillId="0" borderId="48" xfId="0" applyNumberFormat="1" applyFont="1" applyBorder="1" applyProtection="1">
      <protection hidden="1"/>
    </xf>
    <xf numFmtId="171" fontId="67" fillId="11" borderId="12" xfId="4" applyNumberFormat="1" applyFont="1" applyFill="1" applyBorder="1" applyAlignment="1" applyProtection="1">
      <protection hidden="1"/>
    </xf>
    <xf numFmtId="0" fontId="67" fillId="17" borderId="12" xfId="0" applyFont="1" applyFill="1" applyBorder="1" applyProtection="1">
      <protection hidden="1"/>
    </xf>
    <xf numFmtId="171" fontId="67" fillId="17" borderId="12" xfId="4" applyNumberFormat="1" applyFont="1" applyFill="1" applyBorder="1" applyProtection="1">
      <protection hidden="1"/>
    </xf>
    <xf numFmtId="0" fontId="67" fillId="17" borderId="12" xfId="0" applyFont="1" applyFill="1" applyBorder="1" applyAlignment="1" applyProtection="1">
      <alignment horizontal="center"/>
      <protection hidden="1"/>
    </xf>
    <xf numFmtId="171" fontId="67" fillId="17" borderId="12" xfId="4" applyNumberFormat="1" applyFont="1" applyFill="1" applyBorder="1" applyAlignment="1" applyProtection="1">
      <protection hidden="1"/>
    </xf>
    <xf numFmtId="166" fontId="32" fillId="2" borderId="0" xfId="0" applyNumberFormat="1" applyFont="1" applyFill="1" applyProtection="1">
      <protection hidden="1"/>
    </xf>
    <xf numFmtId="171" fontId="0" fillId="0" borderId="0" xfId="0" applyNumberFormat="1" applyProtection="1">
      <protection hidden="1"/>
    </xf>
    <xf numFmtId="0" fontId="14" fillId="0" borderId="50" xfId="0" applyFont="1" applyBorder="1" applyAlignment="1" applyProtection="1">
      <alignment horizontal="left" indent="1"/>
      <protection hidden="1"/>
    </xf>
    <xf numFmtId="0" fontId="0" fillId="2" borderId="27" xfId="0" applyFill="1" applyBorder="1" applyProtection="1">
      <protection hidden="1"/>
    </xf>
    <xf numFmtId="0" fontId="0" fillId="2" borderId="34" xfId="0" applyFill="1" applyBorder="1" applyProtection="1">
      <protection hidden="1"/>
    </xf>
    <xf numFmtId="166" fontId="3" fillId="2" borderId="34" xfId="0" applyNumberFormat="1" applyFont="1" applyFill="1" applyBorder="1" applyProtection="1">
      <protection hidden="1"/>
    </xf>
    <xf numFmtId="0" fontId="14" fillId="0" borderId="34" xfId="0" applyFont="1" applyBorder="1" applyAlignment="1" applyProtection="1">
      <alignment horizontal="left" indent="1"/>
      <protection hidden="1"/>
    </xf>
    <xf numFmtId="0" fontId="14" fillId="0" borderId="25" xfId="0" applyFont="1" applyBorder="1" applyAlignment="1" applyProtection="1">
      <alignment horizontal="left" indent="1"/>
      <protection hidden="1"/>
    </xf>
    <xf numFmtId="0" fontId="68" fillId="0" borderId="0" xfId="0" applyFont="1" applyProtection="1">
      <protection hidden="1"/>
    </xf>
    <xf numFmtId="0" fontId="0" fillId="2" borderId="33" xfId="0" applyFill="1" applyBorder="1" applyProtection="1">
      <protection hidden="1"/>
    </xf>
    <xf numFmtId="0" fontId="0" fillId="2" borderId="48" xfId="0" applyFill="1" applyBorder="1" applyProtection="1">
      <protection hidden="1"/>
    </xf>
    <xf numFmtId="166" fontId="3" fillId="2" borderId="48" xfId="0" applyNumberFormat="1" applyFont="1" applyFill="1" applyBorder="1" applyProtection="1">
      <protection hidden="1"/>
    </xf>
    <xf numFmtId="0" fontId="14" fillId="0" borderId="48" xfId="0" applyFont="1" applyBorder="1" applyAlignment="1" applyProtection="1">
      <alignment horizontal="left" indent="1"/>
      <protection hidden="1"/>
    </xf>
    <xf numFmtId="0" fontId="14" fillId="0" borderId="31" xfId="0" applyFont="1" applyBorder="1" applyAlignment="1" applyProtection="1">
      <alignment horizontal="left" indent="1"/>
      <protection hidden="1"/>
    </xf>
    <xf numFmtId="0" fontId="67" fillId="0" borderId="0" xfId="0" quotePrefix="1" applyFont="1" applyProtection="1">
      <protection hidden="1"/>
    </xf>
    <xf numFmtId="0" fontId="114" fillId="18" borderId="29" xfId="0" applyFont="1" applyFill="1" applyBorder="1" applyAlignment="1">
      <alignment horizontal="center" vertical="top" wrapText="1"/>
    </xf>
    <xf numFmtId="0" fontId="106" fillId="0" borderId="0" xfId="0" applyFont="1" applyAlignment="1" applyProtection="1">
      <alignment vertical="top"/>
      <protection hidden="1"/>
    </xf>
    <xf numFmtId="0" fontId="3" fillId="5" borderId="0" xfId="0" applyFont="1" applyFill="1" applyProtection="1">
      <protection hidden="1"/>
    </xf>
    <xf numFmtId="0" fontId="67" fillId="5" borderId="0" xfId="0" applyFont="1" applyFill="1" applyProtection="1">
      <protection hidden="1"/>
    </xf>
    <xf numFmtId="0" fontId="35" fillId="5" borderId="0" xfId="0" applyFont="1" applyFill="1" applyProtection="1">
      <protection hidden="1"/>
    </xf>
    <xf numFmtId="0" fontId="67" fillId="16" borderId="12" xfId="0" applyFont="1" applyFill="1" applyBorder="1" applyAlignment="1" applyProtection="1">
      <alignment horizontal="center" vertical="center"/>
      <protection hidden="1"/>
    </xf>
    <xf numFmtId="167" fontId="67" fillId="11" borderId="12" xfId="0" applyNumberFormat="1" applyFont="1" applyFill="1" applyBorder="1" applyAlignment="1" applyProtection="1">
      <alignment horizontal="center" vertical="center"/>
      <protection hidden="1"/>
    </xf>
    <xf numFmtId="0" fontId="67" fillId="8" borderId="0" xfId="0" applyFont="1" applyFill="1" applyProtection="1">
      <protection hidden="1"/>
    </xf>
    <xf numFmtId="9" fontId="67" fillId="11" borderId="12" xfId="0" applyNumberFormat="1" applyFont="1" applyFill="1" applyBorder="1" applyAlignment="1" applyProtection="1">
      <alignment horizontal="center" vertical="center"/>
      <protection hidden="1"/>
    </xf>
    <xf numFmtId="0" fontId="26" fillId="8" borderId="0" xfId="0" applyFont="1" applyFill="1" applyAlignment="1" applyProtection="1">
      <alignment horizontal="left" vertical="top" wrapText="1"/>
      <protection hidden="1"/>
    </xf>
    <xf numFmtId="0" fontId="108" fillId="11" borderId="54" xfId="0" applyFont="1" applyFill="1" applyBorder="1" applyAlignment="1" applyProtection="1">
      <alignment vertical="center"/>
      <protection hidden="1"/>
    </xf>
    <xf numFmtId="0" fontId="67" fillId="11" borderId="54" xfId="0" applyFont="1" applyFill="1" applyBorder="1" applyProtection="1">
      <protection hidden="1"/>
    </xf>
    <xf numFmtId="0" fontId="67" fillId="11" borderId="55" xfId="0" applyFont="1" applyFill="1" applyBorder="1" applyProtection="1">
      <protection hidden="1"/>
    </xf>
    <xf numFmtId="0" fontId="67" fillId="11" borderId="63" xfId="0" applyFont="1" applyFill="1" applyBorder="1" applyAlignment="1" applyProtection="1">
      <alignment horizontal="left" vertical="center" indent="1"/>
      <protection hidden="1"/>
    </xf>
    <xf numFmtId="0" fontId="67" fillId="11" borderId="63" xfId="0" applyFont="1" applyFill="1" applyBorder="1" applyAlignment="1" applyProtection="1">
      <alignment horizontal="left" vertical="center" indent="2"/>
      <protection hidden="1"/>
    </xf>
    <xf numFmtId="0" fontId="67" fillId="11" borderId="54" xfId="0" applyFont="1" applyFill="1" applyBorder="1" applyAlignment="1" applyProtection="1">
      <alignment horizontal="left" vertical="center"/>
      <protection hidden="1"/>
    </xf>
    <xf numFmtId="0" fontId="16" fillId="8" borderId="0" xfId="0" applyFont="1" applyFill="1" applyAlignment="1" applyProtection="1">
      <alignment vertical="top" wrapText="1"/>
      <protection hidden="1"/>
    </xf>
    <xf numFmtId="0" fontId="3" fillId="5" borderId="0" xfId="0" applyFont="1" applyFill="1" applyAlignment="1" applyProtection="1">
      <alignment vertical="center" wrapText="1"/>
      <protection hidden="1"/>
    </xf>
    <xf numFmtId="0" fontId="67" fillId="5" borderId="0" xfId="0" applyFont="1" applyFill="1" applyAlignment="1" applyProtection="1">
      <alignment vertical="center" wrapText="1"/>
      <protection hidden="1"/>
    </xf>
    <xf numFmtId="0" fontId="35" fillId="5" borderId="0" xfId="0" applyFont="1" applyFill="1" applyAlignment="1" applyProtection="1">
      <alignment vertical="center" wrapText="1"/>
      <protection hidden="1"/>
    </xf>
    <xf numFmtId="0" fontId="72" fillId="4" borderId="0" xfId="0" applyFont="1" applyFill="1" applyAlignment="1" applyProtection="1">
      <alignment horizontal="left" vertical="center"/>
      <protection hidden="1"/>
    </xf>
    <xf numFmtId="44" fontId="3" fillId="0" borderId="48" xfId="0" applyNumberFormat="1" applyFont="1" applyBorder="1" applyProtection="1">
      <protection hidden="1"/>
    </xf>
    <xf numFmtId="44" fontId="67" fillId="0" borderId="48" xfId="0" applyNumberFormat="1" applyFont="1" applyBorder="1" applyProtection="1">
      <protection hidden="1"/>
    </xf>
    <xf numFmtId="166" fontId="35" fillId="0" borderId="48" xfId="0" applyNumberFormat="1" applyFont="1" applyBorder="1" applyProtection="1">
      <protection hidden="1"/>
    </xf>
    <xf numFmtId="0" fontId="108" fillId="0" borderId="0" xfId="0" applyFont="1" applyProtection="1">
      <protection hidden="1"/>
    </xf>
    <xf numFmtId="0" fontId="108" fillId="0" borderId="0" xfId="0" quotePrefix="1" applyFont="1" applyAlignment="1" applyProtection="1">
      <alignment horizontal="right"/>
      <protection hidden="1"/>
    </xf>
    <xf numFmtId="0" fontId="68" fillId="0" borderId="0" xfId="0" quotePrefix="1" applyFont="1" applyAlignment="1" applyProtection="1">
      <alignment horizontal="right"/>
      <protection hidden="1"/>
    </xf>
    <xf numFmtId="0" fontId="54" fillId="4" borderId="0" xfId="0" applyFont="1" applyFill="1" applyAlignment="1" applyProtection="1">
      <alignment horizontal="left" vertical="center"/>
      <protection hidden="1"/>
    </xf>
    <xf numFmtId="0" fontId="54" fillId="5" borderId="0" xfId="0" applyFont="1" applyFill="1" applyAlignment="1" applyProtection="1">
      <alignment vertical="center"/>
      <protection hidden="1"/>
    </xf>
    <xf numFmtId="0" fontId="54" fillId="2" borderId="49" xfId="0" applyFont="1" applyFill="1" applyBorder="1" applyAlignment="1" applyProtection="1">
      <alignment vertical="center"/>
      <protection hidden="1"/>
    </xf>
    <xf numFmtId="0" fontId="54" fillId="2" borderId="0" xfId="0" applyFont="1" applyFill="1" applyAlignment="1" applyProtection="1">
      <alignment vertical="center"/>
      <protection hidden="1"/>
    </xf>
    <xf numFmtId="0" fontId="77" fillId="2" borderId="0" xfId="0" applyFont="1" applyFill="1" applyAlignment="1" applyProtection="1">
      <alignment horizontal="left" vertical="center"/>
      <protection hidden="1"/>
    </xf>
    <xf numFmtId="0" fontId="58" fillId="2" borderId="0" xfId="0" applyFont="1" applyFill="1" applyAlignment="1" applyProtection="1">
      <alignment vertical="center"/>
      <protection hidden="1"/>
    </xf>
    <xf numFmtId="0" fontId="79" fillId="2" borderId="0" xfId="0" applyFont="1" applyFill="1" applyAlignment="1" applyProtection="1">
      <alignment vertical="center"/>
      <protection hidden="1"/>
    </xf>
    <xf numFmtId="0" fontId="81" fillId="2" borderId="0" xfId="0" applyFont="1" applyFill="1" applyAlignment="1" applyProtection="1">
      <alignment vertical="center"/>
      <protection hidden="1"/>
    </xf>
    <xf numFmtId="0" fontId="54" fillId="2" borderId="50" xfId="0" applyFont="1" applyFill="1" applyBorder="1" applyAlignment="1" applyProtection="1">
      <alignment vertical="center"/>
      <protection hidden="1"/>
    </xf>
    <xf numFmtId="0" fontId="54" fillId="0" borderId="0" xfId="0" applyFont="1" applyAlignment="1" applyProtection="1">
      <alignment vertical="center"/>
      <protection hidden="1"/>
    </xf>
    <xf numFmtId="0" fontId="106" fillId="17" borderId="56" xfId="0" applyFont="1" applyFill="1" applyBorder="1" applyAlignment="1" applyProtection="1">
      <alignment horizontal="center" vertical="center"/>
      <protection hidden="1"/>
    </xf>
    <xf numFmtId="0" fontId="67" fillId="0" borderId="0" xfId="0" applyFont="1" applyAlignment="1" applyProtection="1">
      <alignment vertical="center"/>
      <protection hidden="1"/>
    </xf>
    <xf numFmtId="0" fontId="54" fillId="4" borderId="0" xfId="0" applyFont="1" applyFill="1" applyAlignment="1" applyProtection="1">
      <alignment horizontal="left"/>
      <protection hidden="1"/>
    </xf>
    <xf numFmtId="0" fontId="54" fillId="5" borderId="0" xfId="0" applyFont="1" applyFill="1" applyProtection="1">
      <protection hidden="1"/>
    </xf>
    <xf numFmtId="0" fontId="54" fillId="2" borderId="49" xfId="0" applyFont="1" applyFill="1" applyBorder="1" applyProtection="1">
      <protection hidden="1"/>
    </xf>
    <xf numFmtId="0" fontId="76" fillId="2" borderId="36" xfId="0" applyFont="1" applyFill="1" applyBorder="1" applyAlignment="1" applyProtection="1">
      <alignment horizontal="centerContinuous"/>
      <protection hidden="1"/>
    </xf>
    <xf numFmtId="0" fontId="54" fillId="0" borderId="37" xfId="0" applyFont="1" applyBorder="1" applyAlignment="1" applyProtection="1">
      <alignment horizontal="centerContinuous"/>
      <protection hidden="1"/>
    </xf>
    <xf numFmtId="0" fontId="58" fillId="0" borderId="37" xfId="0" applyFont="1" applyBorder="1" applyAlignment="1" applyProtection="1">
      <alignment horizontal="centerContinuous"/>
      <protection hidden="1"/>
    </xf>
    <xf numFmtId="0" fontId="79" fillId="2" borderId="38" xfId="0" applyFont="1" applyFill="1" applyBorder="1" applyAlignment="1" applyProtection="1">
      <alignment horizontal="centerContinuous"/>
      <protection hidden="1"/>
    </xf>
    <xf numFmtId="0" fontId="13" fillId="0" borderId="0" xfId="0" applyFont="1" applyProtection="1">
      <protection hidden="1"/>
    </xf>
    <xf numFmtId="0" fontId="54" fillId="0" borderId="0" xfId="0" applyFont="1" applyProtection="1">
      <protection hidden="1"/>
    </xf>
    <xf numFmtId="0" fontId="54" fillId="0" borderId="50" xfId="0" applyFont="1" applyBorder="1" applyProtection="1">
      <protection hidden="1"/>
    </xf>
    <xf numFmtId="0" fontId="106" fillId="17" borderId="62" xfId="0" applyFont="1" applyFill="1" applyBorder="1" applyAlignment="1" applyProtection="1">
      <alignment horizontal="center"/>
      <protection hidden="1"/>
    </xf>
    <xf numFmtId="0" fontId="0" fillId="2" borderId="49" xfId="0" applyFill="1" applyBorder="1" applyAlignment="1" applyProtection="1">
      <alignment vertical="center"/>
      <protection hidden="1"/>
    </xf>
    <xf numFmtId="0" fontId="76" fillId="2" borderId="39" xfId="0" applyFont="1" applyFill="1" applyBorder="1" applyAlignment="1" applyProtection="1">
      <alignment horizontal="left" vertical="center"/>
      <protection hidden="1"/>
    </xf>
    <xf numFmtId="0" fontId="3" fillId="0" borderId="0" xfId="0" applyFont="1" applyAlignment="1" applyProtection="1">
      <alignment vertical="center"/>
      <protection hidden="1"/>
    </xf>
    <xf numFmtId="0" fontId="14" fillId="2" borderId="40" xfId="0" applyFont="1" applyFill="1" applyBorder="1" applyProtection="1">
      <protection hidden="1"/>
    </xf>
    <xf numFmtId="0" fontId="72" fillId="0" borderId="0" xfId="0" applyFont="1" applyAlignment="1" applyProtection="1">
      <alignment vertical="center"/>
      <protection hidden="1"/>
    </xf>
    <xf numFmtId="0" fontId="0" fillId="0" borderId="50" xfId="0" applyBorder="1" applyAlignment="1" applyProtection="1">
      <alignment vertical="center"/>
      <protection hidden="1"/>
    </xf>
    <xf numFmtId="0" fontId="106" fillId="17" borderId="53" xfId="0" applyFont="1" applyFill="1" applyBorder="1" applyAlignment="1" applyProtection="1">
      <alignment horizontal="center" vertical="center"/>
      <protection hidden="1"/>
    </xf>
    <xf numFmtId="0" fontId="3" fillId="2" borderId="0" xfId="0" applyFont="1" applyFill="1" applyAlignment="1" applyProtection="1">
      <alignment horizontal="left" indent="3"/>
      <protection hidden="1"/>
    </xf>
    <xf numFmtId="1" fontId="71" fillId="2" borderId="0" xfId="0" applyNumberFormat="1" applyFont="1" applyFill="1" applyAlignment="1" applyProtection="1">
      <alignment horizontal="center" vertical="center"/>
      <protection hidden="1"/>
    </xf>
    <xf numFmtId="0" fontId="14" fillId="2" borderId="40" xfId="0" applyFont="1" applyFill="1" applyBorder="1" applyAlignment="1" applyProtection="1">
      <alignment vertical="center"/>
      <protection hidden="1"/>
    </xf>
    <xf numFmtId="0" fontId="0" fillId="2" borderId="0" xfId="0" applyFill="1" applyAlignment="1" applyProtection="1">
      <alignment vertical="center"/>
      <protection hidden="1"/>
    </xf>
    <xf numFmtId="0" fontId="0" fillId="2" borderId="50" xfId="0" applyFill="1" applyBorder="1" applyAlignment="1" applyProtection="1">
      <alignment vertical="center"/>
      <protection hidden="1"/>
    </xf>
    <xf numFmtId="1" fontId="67" fillId="11" borderId="12" xfId="0" applyNumberFormat="1" applyFont="1" applyFill="1" applyBorder="1" applyAlignment="1" applyProtection="1">
      <alignment horizontal="right"/>
      <protection hidden="1"/>
    </xf>
    <xf numFmtId="0" fontId="107" fillId="2" borderId="12" xfId="0" applyFont="1" applyFill="1" applyBorder="1" applyProtection="1">
      <protection hidden="1"/>
    </xf>
    <xf numFmtId="0" fontId="37" fillId="0" borderId="40" xfId="0" applyFont="1" applyBorder="1" applyAlignment="1" applyProtection="1">
      <alignment horizontal="left" indent="1"/>
      <protection hidden="1"/>
    </xf>
    <xf numFmtId="0" fontId="0" fillId="2" borderId="50" xfId="0" applyFill="1" applyBorder="1" applyProtection="1">
      <protection hidden="1"/>
    </xf>
    <xf numFmtId="0" fontId="3" fillId="2" borderId="0" xfId="0" applyFont="1" applyFill="1" applyAlignment="1" applyProtection="1">
      <alignment horizontal="left" indent="1"/>
      <protection hidden="1"/>
    </xf>
    <xf numFmtId="0" fontId="14" fillId="2" borderId="0" xfId="0" applyFont="1" applyFill="1" applyAlignment="1" applyProtection="1">
      <alignment vertical="center"/>
      <protection hidden="1"/>
    </xf>
    <xf numFmtId="0" fontId="63" fillId="2" borderId="0" xfId="0" applyFont="1" applyFill="1" applyAlignment="1" applyProtection="1">
      <alignment horizontal="left"/>
      <protection hidden="1"/>
    </xf>
    <xf numFmtId="0" fontId="69" fillId="2" borderId="0" xfId="0" applyFont="1" applyFill="1" applyAlignment="1" applyProtection="1">
      <alignment horizontal="left"/>
      <protection hidden="1"/>
    </xf>
    <xf numFmtId="0" fontId="14" fillId="0" borderId="0" xfId="0" applyFont="1" applyAlignment="1" applyProtection="1">
      <alignment horizontal="left" indent="2"/>
      <protection hidden="1"/>
    </xf>
    <xf numFmtId="0" fontId="3" fillId="2" borderId="0" xfId="0" applyFont="1" applyFill="1" applyAlignment="1" applyProtection="1">
      <alignment horizontal="left" vertical="center" indent="3"/>
      <protection hidden="1"/>
    </xf>
    <xf numFmtId="0" fontId="13" fillId="2" borderId="0" xfId="0" applyFont="1" applyFill="1" applyProtection="1">
      <protection hidden="1"/>
    </xf>
    <xf numFmtId="165" fontId="67" fillId="11" borderId="12" xfId="0" applyNumberFormat="1" applyFont="1" applyFill="1" applyBorder="1" applyProtection="1">
      <protection hidden="1"/>
    </xf>
    <xf numFmtId="165" fontId="3" fillId="2" borderId="4" xfId="0" applyNumberFormat="1" applyFont="1" applyFill="1" applyBorder="1" applyAlignment="1" applyProtection="1">
      <alignment horizontal="right" indent="1"/>
      <protection hidden="1"/>
    </xf>
    <xf numFmtId="0" fontId="106" fillId="17" borderId="12" xfId="0" applyFont="1" applyFill="1" applyBorder="1" applyAlignment="1" applyProtection="1">
      <alignment horizontal="center" vertical="center"/>
      <protection hidden="1"/>
    </xf>
    <xf numFmtId="165" fontId="3" fillId="2" borderId="0" xfId="0" applyNumberFormat="1" applyFont="1" applyFill="1" applyAlignment="1" applyProtection="1">
      <alignment horizontal="right" indent="1"/>
      <protection hidden="1"/>
    </xf>
    <xf numFmtId="0" fontId="67" fillId="2" borderId="53" xfId="0" applyFont="1" applyFill="1" applyBorder="1" applyProtection="1">
      <protection hidden="1"/>
    </xf>
    <xf numFmtId="165" fontId="67" fillId="11" borderId="53" xfId="0" applyNumberFormat="1" applyFont="1" applyFill="1" applyBorder="1" applyProtection="1">
      <protection hidden="1"/>
    </xf>
    <xf numFmtId="9" fontId="67" fillId="2" borderId="53" xfId="2" applyFont="1" applyFill="1" applyBorder="1" applyAlignment="1" applyProtection="1">
      <alignment horizontal="right"/>
      <protection hidden="1"/>
    </xf>
    <xf numFmtId="0" fontId="38" fillId="2" borderId="0" xfId="0" applyFont="1" applyFill="1" applyAlignment="1" applyProtection="1">
      <alignment horizontal="left" vertical="center" indent="3"/>
      <protection hidden="1"/>
    </xf>
    <xf numFmtId="9" fontId="67" fillId="2" borderId="12" xfId="2" applyFont="1" applyFill="1" applyBorder="1" applyAlignment="1" applyProtection="1">
      <alignment horizontal="right"/>
      <protection hidden="1"/>
    </xf>
    <xf numFmtId="0" fontId="3" fillId="2" borderId="35" xfId="0" applyFont="1" applyFill="1" applyBorder="1" applyAlignment="1" applyProtection="1">
      <alignment horizontal="left" indent="1"/>
      <protection hidden="1"/>
    </xf>
    <xf numFmtId="0" fontId="66" fillId="2" borderId="35" xfId="0" applyFont="1" applyFill="1" applyBorder="1" applyAlignment="1" applyProtection="1">
      <alignment horizontal="left" indent="1"/>
      <protection hidden="1"/>
    </xf>
    <xf numFmtId="0" fontId="14" fillId="0" borderId="42" xfId="0" applyFont="1" applyBorder="1" applyAlignment="1" applyProtection="1">
      <alignment horizontal="left" indent="2"/>
      <protection hidden="1"/>
    </xf>
    <xf numFmtId="0" fontId="66" fillId="2" borderId="0" xfId="0" applyFont="1" applyFill="1" applyAlignment="1" applyProtection="1">
      <alignment horizontal="left" indent="1"/>
      <protection hidden="1"/>
    </xf>
    <xf numFmtId="0" fontId="106" fillId="17" borderId="62" xfId="0" applyFont="1" applyFill="1" applyBorder="1" applyAlignment="1" applyProtection="1">
      <alignment horizontal="center" vertical="center"/>
      <protection hidden="1"/>
    </xf>
    <xf numFmtId="0" fontId="79" fillId="0" borderId="0" xfId="0" applyFont="1" applyProtection="1">
      <protection hidden="1"/>
    </xf>
    <xf numFmtId="0" fontId="75" fillId="2" borderId="39" xfId="0" applyFont="1" applyFill="1" applyBorder="1" applyAlignment="1" applyProtection="1">
      <alignment horizontal="left" vertical="center"/>
      <protection hidden="1"/>
    </xf>
    <xf numFmtId="0" fontId="42" fillId="0" borderId="0" xfId="0" applyFont="1" applyAlignment="1" applyProtection="1">
      <alignment vertical="center"/>
      <protection hidden="1"/>
    </xf>
    <xf numFmtId="1" fontId="67" fillId="11" borderId="12" xfId="0" applyNumberFormat="1" applyFont="1" applyFill="1" applyBorder="1" applyProtection="1">
      <protection hidden="1"/>
    </xf>
    <xf numFmtId="166" fontId="13" fillId="0" borderId="0" xfId="0" applyNumberFormat="1" applyFont="1" applyProtection="1">
      <protection hidden="1"/>
    </xf>
    <xf numFmtId="166" fontId="13" fillId="2" borderId="0" xfId="0" applyNumberFormat="1" applyFont="1" applyFill="1" applyProtection="1">
      <protection hidden="1"/>
    </xf>
    <xf numFmtId="1" fontId="3" fillId="2" borderId="0" xfId="0" applyNumberFormat="1" applyFont="1" applyFill="1" applyAlignment="1" applyProtection="1">
      <alignment horizontal="right" indent="2"/>
      <protection hidden="1"/>
    </xf>
    <xf numFmtId="0" fontId="67" fillId="17" borderId="62" xfId="0" applyFont="1" applyFill="1" applyBorder="1" applyProtection="1">
      <protection hidden="1"/>
    </xf>
    <xf numFmtId="1" fontId="67" fillId="17" borderId="62" xfId="0" applyNumberFormat="1" applyFont="1" applyFill="1" applyBorder="1" applyProtection="1">
      <protection hidden="1"/>
    </xf>
    <xf numFmtId="167" fontId="67" fillId="11" borderId="12" xfId="0" applyNumberFormat="1" applyFont="1" applyFill="1" applyBorder="1" applyProtection="1">
      <protection hidden="1"/>
    </xf>
    <xf numFmtId="0" fontId="38" fillId="2" borderId="0" xfId="0" applyFont="1" applyFill="1" applyAlignment="1" applyProtection="1">
      <alignment horizontal="left" indent="3"/>
      <protection hidden="1"/>
    </xf>
    <xf numFmtId="169" fontId="67" fillId="2" borderId="12" xfId="0" applyNumberFormat="1" applyFont="1" applyFill="1" applyBorder="1" applyAlignment="1" applyProtection="1">
      <alignment horizontal="right"/>
      <protection hidden="1"/>
    </xf>
    <xf numFmtId="9" fontId="67" fillId="11" borderId="12" xfId="2" applyFont="1" applyFill="1" applyBorder="1" applyProtection="1">
      <protection hidden="1"/>
    </xf>
    <xf numFmtId="170" fontId="67" fillId="0" borderId="0" xfId="0" applyNumberFormat="1" applyFont="1" applyProtection="1">
      <protection hidden="1"/>
    </xf>
    <xf numFmtId="0" fontId="20" fillId="0" borderId="0" xfId="3" applyFont="1" applyBorder="1" applyAlignment="1" applyProtection="1">
      <alignment horizontal="left" vertical="top" indent="1"/>
      <protection hidden="1"/>
    </xf>
    <xf numFmtId="0" fontId="4" fillId="2" borderId="0" xfId="0" applyFont="1" applyFill="1" applyAlignment="1" applyProtection="1">
      <alignment horizontal="left"/>
      <protection hidden="1"/>
    </xf>
    <xf numFmtId="0" fontId="66" fillId="2" borderId="0" xfId="0" applyFont="1" applyFill="1" applyAlignment="1" applyProtection="1">
      <alignment horizontal="right" indent="1"/>
      <protection hidden="1"/>
    </xf>
    <xf numFmtId="0" fontId="14" fillId="0" borderId="0" xfId="0" applyFont="1" applyAlignment="1" applyProtection="1">
      <alignment horizontal="left" indent="4"/>
      <protection hidden="1"/>
    </xf>
    <xf numFmtId="0" fontId="14" fillId="0" borderId="0" xfId="0" applyFont="1" applyAlignment="1" applyProtection="1">
      <alignment horizontal="left"/>
      <protection hidden="1"/>
    </xf>
    <xf numFmtId="164" fontId="67" fillId="11" borderId="12" xfId="2" applyNumberFormat="1" applyFont="1" applyFill="1" applyBorder="1" applyProtection="1">
      <protection hidden="1"/>
    </xf>
    <xf numFmtId="0" fontId="13" fillId="0" borderId="0" xfId="0" applyFont="1" applyAlignment="1" applyProtection="1">
      <alignment horizontal="left"/>
      <protection hidden="1"/>
    </xf>
    <xf numFmtId="0" fontId="3" fillId="0" borderId="0" xfId="0" applyFont="1" applyAlignment="1" applyProtection="1">
      <alignment horizontal="left" indent="3"/>
      <protection hidden="1"/>
    </xf>
    <xf numFmtId="0" fontId="35" fillId="0" borderId="0" xfId="0" applyFont="1" applyAlignment="1" applyProtection="1">
      <alignment horizontal="left" indent="2"/>
      <protection hidden="1"/>
    </xf>
    <xf numFmtId="0" fontId="106" fillId="17" borderId="56" xfId="0" applyFont="1" applyFill="1" applyBorder="1" applyAlignment="1" applyProtection="1">
      <alignment horizontal="left" vertical="center"/>
      <protection hidden="1"/>
    </xf>
    <xf numFmtId="0" fontId="106" fillId="17" borderId="56" xfId="0" applyFont="1" applyFill="1" applyBorder="1" applyAlignment="1" applyProtection="1">
      <alignment horizontal="right" vertical="center" indent="1"/>
      <protection hidden="1"/>
    </xf>
    <xf numFmtId="174" fontId="3" fillId="5" borderId="44" xfId="0" applyNumberFormat="1" applyFont="1" applyFill="1" applyBorder="1" applyAlignment="1" applyProtection="1">
      <alignment horizontal="right" indent="1"/>
      <protection hidden="1"/>
    </xf>
    <xf numFmtId="167" fontId="66" fillId="2" borderId="0" xfId="0" applyNumberFormat="1" applyFont="1" applyFill="1" applyProtection="1">
      <protection hidden="1"/>
    </xf>
    <xf numFmtId="166" fontId="3" fillId="0" borderId="0" xfId="0" applyNumberFormat="1" applyFont="1" applyProtection="1">
      <protection hidden="1"/>
    </xf>
    <xf numFmtId="170" fontId="0" fillId="0" borderId="0" xfId="0" applyNumberFormat="1" applyProtection="1">
      <protection hidden="1"/>
    </xf>
    <xf numFmtId="169" fontId="67" fillId="11" borderId="12" xfId="0" applyNumberFormat="1" applyFont="1" applyFill="1" applyBorder="1" applyProtection="1">
      <protection hidden="1"/>
    </xf>
    <xf numFmtId="0" fontId="109" fillId="2" borderId="12" xfId="0" applyFont="1" applyFill="1" applyBorder="1" applyProtection="1">
      <protection hidden="1"/>
    </xf>
    <xf numFmtId="174" fontId="3" fillId="5" borderId="26" xfId="0" applyNumberFormat="1" applyFont="1" applyFill="1" applyBorder="1" applyAlignment="1" applyProtection="1">
      <alignment horizontal="right" indent="1"/>
      <protection hidden="1"/>
    </xf>
    <xf numFmtId="0" fontId="3" fillId="0" borderId="0" xfId="0" applyFont="1" applyProtection="1">
      <protection hidden="1"/>
    </xf>
    <xf numFmtId="0" fontId="81" fillId="0" borderId="0" xfId="0" applyFont="1" applyProtection="1">
      <protection hidden="1"/>
    </xf>
    <xf numFmtId="174" fontId="3" fillId="5" borderId="4" xfId="0" applyNumberFormat="1" applyFont="1" applyFill="1" applyBorder="1" applyProtection="1">
      <protection hidden="1"/>
    </xf>
    <xf numFmtId="166" fontId="66" fillId="2" borderId="0" xfId="0" applyNumberFormat="1" applyFont="1" applyFill="1" applyProtection="1">
      <protection hidden="1"/>
    </xf>
    <xf numFmtId="167" fontId="3" fillId="0" borderId="0" xfId="0" applyNumberFormat="1" applyFont="1" applyProtection="1">
      <protection hidden="1"/>
    </xf>
    <xf numFmtId="166" fontId="0" fillId="0" borderId="0" xfId="0" applyNumberFormat="1" applyProtection="1">
      <protection hidden="1"/>
    </xf>
    <xf numFmtId="171" fontId="67" fillId="11" borderId="12" xfId="4" applyNumberFormat="1" applyFont="1" applyFill="1" applyBorder="1" applyProtection="1">
      <protection hidden="1"/>
    </xf>
    <xf numFmtId="166" fontId="66" fillId="2" borderId="35" xfId="0" applyNumberFormat="1" applyFont="1" applyFill="1" applyBorder="1" applyProtection="1">
      <protection hidden="1"/>
    </xf>
    <xf numFmtId="0" fontId="37" fillId="0" borderId="42" xfId="0" applyFont="1" applyBorder="1" applyProtection="1">
      <protection hidden="1"/>
    </xf>
    <xf numFmtId="0" fontId="35" fillId="0" borderId="0" xfId="0" applyFont="1" applyProtection="1">
      <protection hidden="1"/>
    </xf>
    <xf numFmtId="0" fontId="0" fillId="0" borderId="49" xfId="0" applyBorder="1" applyAlignment="1" applyProtection="1">
      <alignment vertical="center"/>
      <protection hidden="1"/>
    </xf>
    <xf numFmtId="0" fontId="0" fillId="4" borderId="13" xfId="0" applyFill="1" applyBorder="1" applyAlignment="1" applyProtection="1">
      <alignment vertical="center"/>
      <protection hidden="1"/>
    </xf>
    <xf numFmtId="0" fontId="8" fillId="4" borderId="43" xfId="0" applyFont="1" applyFill="1" applyBorder="1" applyAlignment="1" applyProtection="1">
      <alignment horizontal="left" vertical="center"/>
      <protection hidden="1"/>
    </xf>
    <xf numFmtId="166" fontId="70" fillId="4" borderId="43" xfId="0" applyNumberFormat="1" applyFont="1" applyFill="1" applyBorder="1" applyAlignment="1" applyProtection="1">
      <alignment vertical="center"/>
      <protection hidden="1"/>
    </xf>
    <xf numFmtId="0" fontId="8" fillId="4" borderId="14" xfId="0" applyFont="1" applyFill="1" applyBorder="1" applyAlignment="1" applyProtection="1">
      <alignment horizontal="left" vertical="center"/>
      <protection hidden="1"/>
    </xf>
    <xf numFmtId="0" fontId="49" fillId="0" borderId="0" xfId="0" applyFont="1" applyAlignment="1" applyProtection="1">
      <alignment horizontal="left" vertical="center"/>
      <protection hidden="1"/>
    </xf>
    <xf numFmtId="0" fontId="37" fillId="0" borderId="0" xfId="0" applyFont="1" applyProtection="1">
      <protection hidden="1"/>
    </xf>
    <xf numFmtId="0" fontId="0" fillId="0" borderId="15" xfId="0" applyBorder="1" applyProtection="1">
      <protection hidden="1"/>
    </xf>
    <xf numFmtId="0" fontId="107" fillId="2" borderId="12" xfId="0" applyFont="1" applyFill="1" applyBorder="1" applyAlignment="1" applyProtection="1">
      <alignment horizontal="left"/>
      <protection hidden="1"/>
    </xf>
    <xf numFmtId="0" fontId="0" fillId="0" borderId="18" xfId="0" applyBorder="1" applyAlignment="1" applyProtection="1">
      <alignment vertical="top"/>
      <protection hidden="1"/>
    </xf>
    <xf numFmtId="0" fontId="0" fillId="0" borderId="19" xfId="0" applyBorder="1" applyAlignment="1" applyProtection="1">
      <alignment vertical="top"/>
      <protection hidden="1"/>
    </xf>
    <xf numFmtId="167" fontId="67" fillId="0" borderId="0" xfId="0" applyNumberFormat="1" applyFont="1" applyProtection="1">
      <protection hidden="1"/>
    </xf>
    <xf numFmtId="171" fontId="67" fillId="0" borderId="0" xfId="0" applyNumberFormat="1" applyFont="1" applyProtection="1">
      <protection hidden="1"/>
    </xf>
    <xf numFmtId="0" fontId="0" fillId="0" borderId="20" xfId="0" applyBorder="1" applyAlignment="1" applyProtection="1">
      <alignment vertical="top"/>
      <protection hidden="1"/>
    </xf>
    <xf numFmtId="0" fontId="0" fillId="0" borderId="22" xfId="0" applyBorder="1" applyAlignment="1" applyProtection="1">
      <alignment vertical="top"/>
      <protection hidden="1"/>
    </xf>
    <xf numFmtId="0" fontId="0" fillId="0" borderId="0" xfId="0" applyAlignment="1" applyProtection="1">
      <alignment vertical="top"/>
      <protection hidden="1"/>
    </xf>
    <xf numFmtId="0" fontId="86" fillId="0" borderId="0" xfId="0" quotePrefix="1" applyFont="1" applyAlignment="1" applyProtection="1">
      <alignment horizontal="left" vertical="top" wrapText="1"/>
      <protection hidden="1"/>
    </xf>
    <xf numFmtId="0" fontId="34" fillId="0" borderId="0" xfId="0" applyFont="1" applyAlignment="1" applyProtection="1">
      <alignment horizontal="left" vertical="top" wrapText="1"/>
      <protection hidden="1"/>
    </xf>
    <xf numFmtId="0" fontId="108" fillId="0" borderId="0" xfId="0" applyFont="1" applyAlignment="1" applyProtection="1">
      <alignment horizontal="right"/>
      <protection hidden="1"/>
    </xf>
    <xf numFmtId="0" fontId="94" fillId="2" borderId="0" xfId="0" applyFont="1" applyFill="1" applyAlignment="1" applyProtection="1">
      <alignment horizontal="left" indent="3"/>
      <protection hidden="1"/>
    </xf>
    <xf numFmtId="0" fontId="14" fillId="0" borderId="0" xfId="0" applyFont="1" applyProtection="1">
      <protection hidden="1"/>
    </xf>
    <xf numFmtId="0" fontId="31" fillId="5" borderId="0" xfId="0" applyFont="1" applyFill="1" applyProtection="1">
      <protection hidden="1"/>
    </xf>
    <xf numFmtId="0" fontId="14" fillId="5" borderId="0" xfId="0" applyFont="1" applyFill="1" applyAlignment="1" applyProtection="1">
      <alignment horizontal="left" indent="2"/>
      <protection hidden="1"/>
    </xf>
    <xf numFmtId="0" fontId="21" fillId="8" borderId="0" xfId="0" applyFont="1" applyFill="1" applyAlignment="1" applyProtection="1">
      <alignment horizontal="left" wrapText="1"/>
      <protection hidden="1"/>
    </xf>
    <xf numFmtId="0" fontId="26" fillId="8" borderId="0" xfId="0" applyFont="1" applyFill="1" applyAlignment="1" applyProtection="1">
      <alignment horizontal="left" wrapText="1"/>
      <protection hidden="1"/>
    </xf>
    <xf numFmtId="0" fontId="19" fillId="8" borderId="0" xfId="0" applyFont="1" applyFill="1" applyAlignment="1" applyProtection="1">
      <alignment vertical="center" wrapText="1"/>
      <protection hidden="1"/>
    </xf>
    <xf numFmtId="0" fontId="14" fillId="5" borderId="0" xfId="0" applyFont="1" applyFill="1" applyAlignment="1" applyProtection="1">
      <alignment horizontal="left" vertical="center" wrapText="1" indent="2"/>
      <protection hidden="1"/>
    </xf>
    <xf numFmtId="0" fontId="14" fillId="4" borderId="0" xfId="0" applyFont="1" applyFill="1" applyAlignment="1" applyProtection="1">
      <alignment horizontal="left" vertical="center" indent="2"/>
      <protection hidden="1"/>
    </xf>
    <xf numFmtId="0" fontId="110" fillId="0" borderId="0" xfId="0" quotePrefix="1" applyFont="1" applyAlignment="1" applyProtection="1">
      <alignment horizontal="right"/>
      <protection hidden="1"/>
    </xf>
    <xf numFmtId="166" fontId="14" fillId="0" borderId="48" xfId="0" applyNumberFormat="1" applyFont="1" applyBorder="1" applyAlignment="1" applyProtection="1">
      <alignment horizontal="left" indent="1"/>
      <protection hidden="1"/>
    </xf>
    <xf numFmtId="0" fontId="79" fillId="2" borderId="0" xfId="0" applyFont="1" applyFill="1" applyAlignment="1" applyProtection="1">
      <alignment horizontal="left" vertical="center" indent="2"/>
      <protection hidden="1"/>
    </xf>
    <xf numFmtId="0" fontId="42" fillId="2" borderId="0" xfId="0" applyFont="1" applyFill="1" applyAlignment="1" applyProtection="1">
      <alignment vertical="center"/>
      <protection hidden="1"/>
    </xf>
    <xf numFmtId="0" fontId="76" fillId="2" borderId="36" xfId="0" applyFont="1" applyFill="1" applyBorder="1" applyAlignment="1" applyProtection="1">
      <alignment horizontal="centerContinuous" vertical="center"/>
      <protection hidden="1"/>
    </xf>
    <xf numFmtId="0" fontId="54" fillId="0" borderId="37" xfId="0" applyFont="1" applyBorder="1" applyAlignment="1" applyProtection="1">
      <alignment horizontal="centerContinuous" vertical="center"/>
      <protection hidden="1"/>
    </xf>
    <xf numFmtId="0" fontId="13" fillId="0" borderId="0" xfId="0" applyFont="1" applyAlignment="1" applyProtection="1">
      <alignment horizontal="left" vertical="center" indent="2"/>
      <protection hidden="1"/>
    </xf>
    <xf numFmtId="0" fontId="14" fillId="2" borderId="0" xfId="0" applyFont="1" applyFill="1" applyAlignment="1" applyProtection="1">
      <alignment horizontal="left" vertical="center" indent="2"/>
      <protection hidden="1"/>
    </xf>
    <xf numFmtId="0" fontId="16" fillId="2" borderId="0" xfId="0" applyFont="1" applyFill="1" applyAlignment="1" applyProtection="1">
      <alignment vertical="center"/>
      <protection hidden="1"/>
    </xf>
    <xf numFmtId="0" fontId="67" fillId="17" borderId="56" xfId="0" applyFont="1" applyFill="1" applyBorder="1" applyProtection="1">
      <protection hidden="1"/>
    </xf>
    <xf numFmtId="1" fontId="67" fillId="17" borderId="56" xfId="0" applyNumberFormat="1" applyFont="1" applyFill="1" applyBorder="1" applyAlignment="1" applyProtection="1">
      <alignment horizontal="right"/>
      <protection hidden="1"/>
    </xf>
    <xf numFmtId="0" fontId="106" fillId="17" borderId="62" xfId="0" applyFont="1" applyFill="1" applyBorder="1" applyAlignment="1" applyProtection="1">
      <alignment horizontal="right" vertical="center"/>
      <protection hidden="1"/>
    </xf>
    <xf numFmtId="0" fontId="63" fillId="2" borderId="0" xfId="0" applyFont="1" applyFill="1" applyProtection="1">
      <protection hidden="1"/>
    </xf>
    <xf numFmtId="0" fontId="3" fillId="2" borderId="0" xfId="0" applyFont="1" applyFill="1" applyAlignment="1" applyProtection="1">
      <alignment horizontal="left" vertical="center" indent="2"/>
      <protection hidden="1"/>
    </xf>
    <xf numFmtId="1" fontId="0" fillId="0" borderId="0" xfId="0" applyNumberFormat="1" applyProtection="1">
      <protection hidden="1"/>
    </xf>
    <xf numFmtId="165" fontId="67" fillId="11" borderId="12" xfId="0" applyNumberFormat="1" applyFont="1" applyFill="1" applyBorder="1" applyAlignment="1" applyProtection="1">
      <alignment horizontal="right"/>
      <protection hidden="1"/>
    </xf>
    <xf numFmtId="0" fontId="79" fillId="0" borderId="0" xfId="0" applyFont="1" applyAlignment="1" applyProtection="1">
      <alignment horizontal="left" vertical="center" indent="2"/>
      <protection hidden="1"/>
    </xf>
    <xf numFmtId="0" fontId="54" fillId="0" borderId="50" xfId="0" applyFont="1" applyBorder="1" applyAlignment="1" applyProtection="1">
      <alignment vertical="center"/>
      <protection hidden="1"/>
    </xf>
    <xf numFmtId="0" fontId="15" fillId="2" borderId="49" xfId="0" applyFont="1" applyFill="1" applyBorder="1" applyAlignment="1" applyProtection="1">
      <alignment horizontal="right"/>
      <protection hidden="1"/>
    </xf>
    <xf numFmtId="0" fontId="15" fillId="2" borderId="39" xfId="0" applyFont="1" applyFill="1" applyBorder="1" applyAlignment="1" applyProtection="1">
      <alignment horizontal="right"/>
      <protection hidden="1"/>
    </xf>
    <xf numFmtId="0" fontId="71" fillId="2" borderId="0" xfId="0" applyFont="1" applyFill="1" applyAlignment="1" applyProtection="1">
      <alignment horizontal="center" vertical="center"/>
      <protection hidden="1"/>
    </xf>
    <xf numFmtId="1" fontId="64" fillId="2" borderId="40" xfId="2" applyNumberFormat="1" applyFont="1" applyFill="1" applyBorder="1" applyAlignment="1" applyProtection="1">
      <alignment horizontal="center"/>
      <protection hidden="1"/>
    </xf>
    <xf numFmtId="44" fontId="34" fillId="2" borderId="0" xfId="0" applyNumberFormat="1" applyFont="1" applyFill="1" applyAlignment="1" applyProtection="1">
      <alignment vertical="top" wrapText="1"/>
      <protection hidden="1"/>
    </xf>
    <xf numFmtId="0" fontId="15" fillId="2" borderId="0" xfId="0" applyFont="1" applyFill="1" applyAlignment="1" applyProtection="1">
      <alignment horizontal="right"/>
      <protection hidden="1"/>
    </xf>
    <xf numFmtId="0" fontId="67" fillId="11" borderId="12" xfId="0" applyFont="1" applyFill="1" applyBorder="1" applyAlignment="1" applyProtection="1">
      <alignment horizontal="right"/>
      <protection hidden="1"/>
    </xf>
    <xf numFmtId="1" fontId="71" fillId="2" borderId="0" xfId="2" applyNumberFormat="1" applyFont="1" applyFill="1" applyBorder="1" applyAlignment="1" applyProtection="1">
      <alignment horizontal="center" vertical="center"/>
      <protection hidden="1"/>
    </xf>
    <xf numFmtId="0" fontId="65" fillId="0" borderId="0" xfId="0" applyFont="1" applyAlignment="1" applyProtection="1">
      <alignment horizontal="left" indent="2"/>
      <protection hidden="1"/>
    </xf>
    <xf numFmtId="0" fontId="20" fillId="2" borderId="0" xfId="3" applyFont="1" applyFill="1" applyBorder="1" applyAlignment="1" applyProtection="1">
      <alignment horizontal="left" vertical="top" indent="2"/>
      <protection hidden="1"/>
    </xf>
    <xf numFmtId="0" fontId="66" fillId="2" borderId="0" xfId="0" applyFont="1" applyFill="1" applyAlignment="1" applyProtection="1">
      <alignment horizontal="left" vertical="center"/>
      <protection hidden="1"/>
    </xf>
    <xf numFmtId="0" fontId="34" fillId="0" borderId="0" xfId="0" applyFont="1" applyAlignment="1" applyProtection="1">
      <alignment wrapText="1"/>
      <protection hidden="1"/>
    </xf>
    <xf numFmtId="166" fontId="71" fillId="2" borderId="0" xfId="0" applyNumberFormat="1" applyFont="1" applyFill="1" applyAlignment="1" applyProtection="1">
      <alignment horizontal="center" vertical="center"/>
      <protection hidden="1"/>
    </xf>
    <xf numFmtId="166" fontId="64" fillId="2" borderId="40" xfId="0" applyNumberFormat="1" applyFont="1" applyFill="1" applyBorder="1" applyAlignment="1" applyProtection="1">
      <alignment horizontal="center"/>
      <protection hidden="1"/>
    </xf>
    <xf numFmtId="167" fontId="67" fillId="11" borderId="12" xfId="0" applyNumberFormat="1" applyFont="1" applyFill="1" applyBorder="1" applyAlignment="1" applyProtection="1">
      <alignment horizontal="right"/>
      <protection hidden="1"/>
    </xf>
    <xf numFmtId="164" fontId="67" fillId="11" borderId="12" xfId="2" applyNumberFormat="1" applyFont="1" applyFill="1" applyBorder="1" applyAlignment="1" applyProtection="1">
      <alignment horizontal="right"/>
      <protection hidden="1"/>
    </xf>
    <xf numFmtId="0" fontId="34" fillId="0" borderId="0" xfId="0" applyFont="1" applyAlignment="1" applyProtection="1">
      <alignment horizontal="left" indent="4"/>
      <protection hidden="1"/>
    </xf>
    <xf numFmtId="0" fontId="106" fillId="2" borderId="62" xfId="0" applyFont="1" applyFill="1" applyBorder="1" applyAlignment="1" applyProtection="1">
      <alignment horizontal="center" vertical="center"/>
      <protection hidden="1"/>
    </xf>
    <xf numFmtId="0" fontId="106" fillId="2" borderId="62" xfId="0" applyFont="1" applyFill="1" applyBorder="1" applyAlignment="1" applyProtection="1">
      <alignment horizontal="right" vertical="center"/>
      <protection hidden="1"/>
    </xf>
    <xf numFmtId="0" fontId="35" fillId="0" borderId="0" xfId="0" applyFont="1" applyAlignment="1" applyProtection="1">
      <alignment horizontal="left" indent="4"/>
      <protection hidden="1"/>
    </xf>
    <xf numFmtId="0" fontId="106" fillId="17" borderId="12" xfId="0" applyFont="1" applyFill="1" applyBorder="1" applyAlignment="1" applyProtection="1">
      <alignment horizontal="right" vertical="center"/>
      <protection hidden="1"/>
    </xf>
    <xf numFmtId="0" fontId="106" fillId="17" borderId="12" xfId="0" applyFont="1" applyFill="1" applyBorder="1" applyAlignment="1" applyProtection="1">
      <alignment horizontal="left" vertical="center"/>
      <protection hidden="1"/>
    </xf>
    <xf numFmtId="0" fontId="35" fillId="2" borderId="0" xfId="0" applyFont="1" applyFill="1" applyAlignment="1" applyProtection="1">
      <alignment horizontal="left" vertical="center" indent="2"/>
      <protection hidden="1"/>
    </xf>
    <xf numFmtId="0" fontId="54" fillId="0" borderId="0" xfId="0" applyFont="1" applyAlignment="1" applyProtection="1">
      <alignment horizontal="left" vertical="center" indent="2"/>
      <protection hidden="1"/>
    </xf>
    <xf numFmtId="0" fontId="0" fillId="0" borderId="0" xfId="0" applyAlignment="1" applyProtection="1">
      <alignment horizontal="left" vertical="center" indent="2"/>
      <protection hidden="1"/>
    </xf>
    <xf numFmtId="174" fontId="3" fillId="5" borderId="4" xfId="0" applyNumberFormat="1" applyFont="1" applyFill="1" applyBorder="1" applyAlignment="1" applyProtection="1">
      <alignment horizontal="right" indent="1"/>
      <protection hidden="1"/>
    </xf>
    <xf numFmtId="0" fontId="37" fillId="0" borderId="40" xfId="0" applyFont="1" applyBorder="1" applyProtection="1">
      <protection hidden="1"/>
    </xf>
    <xf numFmtId="0" fontId="37" fillId="0" borderId="0" xfId="0" applyFont="1" applyAlignment="1" applyProtection="1">
      <alignment horizontal="left" indent="2"/>
      <protection hidden="1"/>
    </xf>
    <xf numFmtId="0" fontId="37" fillId="0" borderId="0" xfId="0" applyFont="1" applyAlignment="1" applyProtection="1">
      <alignment horizontal="left" indent="1"/>
      <protection hidden="1"/>
    </xf>
    <xf numFmtId="0" fontId="107" fillId="17" borderId="62" xfId="0" applyFont="1" applyFill="1" applyBorder="1" applyProtection="1">
      <protection hidden="1"/>
    </xf>
    <xf numFmtId="0" fontId="107" fillId="2" borderId="12" xfId="0" applyFont="1" applyFill="1" applyBorder="1" applyAlignment="1" applyProtection="1">
      <alignment horizontal="right"/>
      <protection hidden="1"/>
    </xf>
    <xf numFmtId="0" fontId="67" fillId="0" borderId="0" xfId="0" applyFont="1" applyAlignment="1" applyProtection="1">
      <alignment horizontal="left"/>
      <protection hidden="1"/>
    </xf>
    <xf numFmtId="0" fontId="0" fillId="5" borderId="0" xfId="0" quotePrefix="1" applyFill="1" applyProtection="1">
      <protection hidden="1"/>
    </xf>
    <xf numFmtId="0" fontId="67" fillId="5" borderId="0" xfId="0" quotePrefix="1" applyFont="1" applyFill="1" applyProtection="1">
      <protection hidden="1"/>
    </xf>
    <xf numFmtId="0" fontId="110" fillId="0" borderId="0" xfId="0" applyFont="1" applyAlignment="1" applyProtection="1">
      <alignment horizontal="right"/>
      <protection hidden="1"/>
    </xf>
    <xf numFmtId="0" fontId="39" fillId="0" borderId="40" xfId="0" applyFont="1" applyBorder="1" applyAlignment="1" applyProtection="1">
      <alignment horizontal="left" vertical="top" wrapText="1"/>
      <protection hidden="1"/>
    </xf>
    <xf numFmtId="0" fontId="0" fillId="0" borderId="42" xfId="0" applyBorder="1" applyProtection="1">
      <protection hidden="1"/>
    </xf>
    <xf numFmtId="0" fontId="106" fillId="12" borderId="12" xfId="0" applyFont="1" applyFill="1" applyBorder="1" applyAlignment="1" applyProtection="1">
      <alignment horizontal="center" vertical="center"/>
      <protection hidden="1"/>
    </xf>
    <xf numFmtId="0" fontId="108" fillId="11" borderId="56" xfId="0" applyFont="1" applyFill="1" applyBorder="1" applyAlignment="1" applyProtection="1">
      <alignment horizontal="left" vertical="center" indent="1"/>
      <protection hidden="1"/>
    </xf>
    <xf numFmtId="0" fontId="26" fillId="8" borderId="0" xfId="0" applyFont="1" applyFill="1" applyAlignment="1" applyProtection="1">
      <alignment horizontal="right" vertical="top" wrapText="1"/>
      <protection hidden="1"/>
    </xf>
    <xf numFmtId="0" fontId="108" fillId="11" borderId="12" xfId="0" applyFont="1" applyFill="1" applyBorder="1" applyAlignment="1" applyProtection="1">
      <alignment horizontal="left" vertical="center" indent="1"/>
      <protection hidden="1"/>
    </xf>
    <xf numFmtId="0" fontId="67" fillId="11" borderId="12" xfId="0" applyFont="1" applyFill="1" applyBorder="1" applyAlignment="1" applyProtection="1">
      <alignment horizontal="left" vertical="center" indent="1"/>
      <protection hidden="1"/>
    </xf>
    <xf numFmtId="174" fontId="90" fillId="5" borderId="44" xfId="2" applyNumberFormat="1" applyFont="1" applyFill="1" applyBorder="1" applyAlignment="1" applyProtection="1">
      <alignment horizontal="right" indent="1"/>
      <protection hidden="1"/>
    </xf>
    <xf numFmtId="174" fontId="90" fillId="5" borderId="46" xfId="2" applyNumberFormat="1" applyFont="1" applyFill="1" applyBorder="1" applyAlignment="1" applyProtection="1">
      <alignment horizontal="right" indent="1"/>
      <protection hidden="1"/>
    </xf>
    <xf numFmtId="0" fontId="106" fillId="12" borderId="12" xfId="0" applyFont="1" applyFill="1" applyBorder="1" applyAlignment="1" applyProtection="1">
      <alignment horizontal="left" vertical="center"/>
      <protection hidden="1"/>
    </xf>
    <xf numFmtId="0" fontId="106" fillId="12" borderId="12" xfId="0" applyFont="1" applyFill="1" applyBorder="1" applyAlignment="1" applyProtection="1">
      <alignment horizontal="right" vertical="center"/>
      <protection hidden="1"/>
    </xf>
    <xf numFmtId="0" fontId="106" fillId="12" borderId="12" xfId="0" applyFont="1" applyFill="1" applyBorder="1" applyAlignment="1" applyProtection="1">
      <alignment horizontal="center"/>
      <protection hidden="1"/>
    </xf>
    <xf numFmtId="171" fontId="67" fillId="0" borderId="12" xfId="4" applyNumberFormat="1" applyFont="1" applyBorder="1" applyAlignment="1" applyProtection="1">
      <alignment horizontal="right" indent="1"/>
      <protection hidden="1"/>
    </xf>
    <xf numFmtId="0" fontId="106" fillId="12" borderId="12" xfId="0" applyFont="1" applyFill="1" applyBorder="1" applyAlignment="1" applyProtection="1">
      <alignment horizontal="right" indent="1"/>
      <protection hidden="1"/>
    </xf>
    <xf numFmtId="9" fontId="67" fillId="0" borderId="12" xfId="2" applyFont="1" applyBorder="1" applyAlignment="1" applyProtection="1">
      <alignment horizontal="right" indent="1"/>
      <protection hidden="1"/>
    </xf>
    <xf numFmtId="0" fontId="0" fillId="4" borderId="60" xfId="0" applyFill="1" applyBorder="1" applyProtection="1">
      <protection hidden="1"/>
    </xf>
    <xf numFmtId="166" fontId="3" fillId="4" borderId="61" xfId="0" applyNumberFormat="1" applyFont="1" applyFill="1" applyBorder="1" applyProtection="1">
      <protection hidden="1"/>
    </xf>
    <xf numFmtId="0" fontId="67" fillId="13" borderId="12" xfId="0" applyFont="1" applyFill="1" applyBorder="1" applyAlignment="1" applyProtection="1">
      <alignment horizontal="center"/>
      <protection hidden="1"/>
    </xf>
    <xf numFmtId="0" fontId="67" fillId="0" borderId="12" xfId="0" applyFont="1" applyBorder="1" applyAlignment="1" applyProtection="1">
      <alignment horizontal="center"/>
      <protection hidden="1"/>
    </xf>
    <xf numFmtId="14" fontId="67" fillId="9" borderId="12" xfId="0" applyNumberFormat="1" applyFont="1" applyFill="1" applyBorder="1" applyProtection="1">
      <protection hidden="1"/>
    </xf>
    <xf numFmtId="0" fontId="67" fillId="0" borderId="12" xfId="0" applyFont="1" applyBorder="1" applyAlignment="1" applyProtection="1">
      <alignment horizontal="center" vertical="center"/>
      <protection hidden="1"/>
    </xf>
    <xf numFmtId="0" fontId="106" fillId="12" borderId="12" xfId="0" applyFont="1" applyFill="1" applyBorder="1" applyAlignment="1" applyProtection="1">
      <alignment horizontal="left"/>
      <protection hidden="1"/>
    </xf>
    <xf numFmtId="1" fontId="67" fillId="0" borderId="12" xfId="0" applyNumberFormat="1" applyFont="1" applyBorder="1" applyAlignment="1" applyProtection="1">
      <alignment horizontal="right" indent="1"/>
      <protection hidden="1"/>
    </xf>
    <xf numFmtId="1" fontId="67" fillId="0" borderId="12" xfId="0" applyNumberFormat="1" applyFont="1" applyBorder="1" applyAlignment="1" applyProtection="1">
      <alignment horizontal="center" vertical="center"/>
      <protection hidden="1"/>
    </xf>
    <xf numFmtId="0" fontId="108" fillId="0" borderId="12" xfId="0" applyFont="1" applyBorder="1" applyProtection="1">
      <protection hidden="1"/>
    </xf>
    <xf numFmtId="0" fontId="67" fillId="0" borderId="12" xfId="0" applyFont="1" applyBorder="1" applyAlignment="1" applyProtection="1">
      <alignment horizontal="right" indent="1"/>
      <protection hidden="1"/>
    </xf>
    <xf numFmtId="0" fontId="67" fillId="0" borderId="12" xfId="0" applyFont="1" applyBorder="1" applyAlignment="1" applyProtection="1">
      <alignment horizontal="right"/>
      <protection hidden="1"/>
    </xf>
    <xf numFmtId="14" fontId="67" fillId="10" borderId="12" xfId="0" applyNumberFormat="1" applyFont="1" applyFill="1" applyBorder="1" applyProtection="1">
      <protection hidden="1"/>
    </xf>
    <xf numFmtId="14" fontId="67" fillId="0" borderId="12" xfId="0" applyNumberFormat="1" applyFont="1" applyBorder="1" applyAlignment="1" applyProtection="1">
      <alignment horizontal="right" vertical="center"/>
      <protection hidden="1"/>
    </xf>
    <xf numFmtId="174" fontId="3" fillId="5" borderId="5" xfId="2" applyNumberFormat="1" applyFont="1" applyFill="1" applyBorder="1" applyAlignment="1" applyProtection="1">
      <alignment horizontal="right" indent="1"/>
      <protection hidden="1"/>
    </xf>
    <xf numFmtId="0" fontId="67" fillId="0" borderId="0" xfId="0" applyFont="1" applyAlignment="1" applyProtection="1">
      <alignment horizontal="center"/>
      <protection hidden="1"/>
    </xf>
    <xf numFmtId="0" fontId="108" fillId="0" borderId="0" xfId="0" applyFont="1" applyAlignment="1" applyProtection="1">
      <alignment horizontal="left"/>
      <protection hidden="1"/>
    </xf>
    <xf numFmtId="0" fontId="67" fillId="0" borderId="0" xfId="0" applyFont="1" applyAlignment="1" applyProtection="1">
      <alignment horizontal="right"/>
      <protection hidden="1"/>
    </xf>
    <xf numFmtId="1" fontId="67" fillId="0" borderId="0" xfId="0" applyNumberFormat="1" applyFont="1" applyAlignment="1" applyProtection="1">
      <alignment horizontal="center" vertical="center"/>
      <protection hidden="1"/>
    </xf>
    <xf numFmtId="174" fontId="67" fillId="0" borderId="0" xfId="0" applyNumberFormat="1" applyFont="1" applyProtection="1">
      <protection hidden="1"/>
    </xf>
    <xf numFmtId="171" fontId="67" fillId="0" borderId="0" xfId="4" applyNumberFormat="1" applyFont="1" applyBorder="1" applyAlignment="1" applyProtection="1">
      <alignment horizontal="right" indent="1"/>
      <protection hidden="1"/>
    </xf>
    <xf numFmtId="164" fontId="67" fillId="0" borderId="12" xfId="2" applyNumberFormat="1" applyFont="1" applyBorder="1" applyAlignment="1" applyProtection="1">
      <alignment horizontal="right" indent="1"/>
      <protection hidden="1"/>
    </xf>
    <xf numFmtId="0" fontId="89" fillId="15" borderId="0" xfId="0" applyFont="1" applyFill="1" applyAlignment="1" applyProtection="1">
      <alignment wrapText="1"/>
      <protection hidden="1"/>
    </xf>
    <xf numFmtId="0" fontId="5" fillId="7" borderId="0" xfId="0" applyFont="1" applyFill="1" applyAlignment="1">
      <alignment horizontal="left" indent="1"/>
    </xf>
    <xf numFmtId="0" fontId="13" fillId="5" borderId="0" xfId="0" applyFont="1" applyFill="1"/>
    <xf numFmtId="0" fontId="67" fillId="11" borderId="12" xfId="4" applyNumberFormat="1" applyFont="1" applyFill="1" applyBorder="1" applyAlignment="1" applyProtection="1">
      <alignment horizontal="right" indent="1"/>
      <protection hidden="1"/>
    </xf>
    <xf numFmtId="1" fontId="3" fillId="6" borderId="4" xfId="0" applyNumberFormat="1" applyFont="1" applyFill="1" applyBorder="1" applyAlignment="1" applyProtection="1">
      <alignment horizontal="center" vertical="center"/>
      <protection locked="0"/>
    </xf>
    <xf numFmtId="174" fontId="3" fillId="6" borderId="7" xfId="0" applyNumberFormat="1" applyFont="1" applyFill="1" applyBorder="1" applyAlignment="1" applyProtection="1">
      <alignment horizontal="right" vertical="center"/>
      <protection locked="0"/>
    </xf>
    <xf numFmtId="164" fontId="3" fillId="6" borderId="6" xfId="2" applyNumberFormat="1" applyFont="1" applyFill="1" applyBorder="1" applyAlignment="1" applyProtection="1">
      <alignment horizontal="center" vertical="center"/>
      <protection locked="0"/>
    </xf>
    <xf numFmtId="164" fontId="3" fillId="6" borderId="1" xfId="2" applyNumberFormat="1" applyFont="1" applyFill="1" applyBorder="1" applyAlignment="1" applyProtection="1">
      <alignment horizontal="center" vertical="center"/>
      <protection locked="0"/>
    </xf>
    <xf numFmtId="174" fontId="3" fillId="6" borderId="1" xfId="0" applyNumberFormat="1" applyFont="1" applyFill="1" applyBorder="1" applyAlignment="1" applyProtection="1">
      <alignment horizontal="right" vertical="center"/>
      <protection locked="0"/>
    </xf>
    <xf numFmtId="1" fontId="3" fillId="6" borderId="1" xfId="2" applyNumberFormat="1" applyFont="1" applyFill="1" applyBorder="1" applyAlignment="1" applyProtection="1">
      <alignment horizontal="center" vertical="center"/>
      <protection locked="0"/>
    </xf>
    <xf numFmtId="0" fontId="37" fillId="2" borderId="40" xfId="0" applyFont="1" applyFill="1" applyBorder="1" applyAlignment="1" applyProtection="1">
      <alignment horizontal="left" indent="1"/>
      <protection hidden="1"/>
    </xf>
    <xf numFmtId="0" fontId="14" fillId="0" borderId="0" xfId="0" applyFont="1" applyAlignment="1" applyProtection="1">
      <alignment horizontal="left" vertical="top" wrapText="1" indent="1"/>
      <protection hidden="1"/>
    </xf>
    <xf numFmtId="0" fontId="0" fillId="0" borderId="0" xfId="0" applyAlignment="1" applyProtection="1">
      <alignment horizontal="right" vertical="center"/>
      <protection hidden="1"/>
    </xf>
    <xf numFmtId="0" fontId="13" fillId="0" borderId="0" xfId="0" applyFont="1" applyAlignment="1" applyProtection="1">
      <alignment vertical="center"/>
      <protection hidden="1"/>
    </xf>
    <xf numFmtId="0" fontId="13" fillId="2" borderId="0" xfId="0" applyFont="1" applyFill="1" applyAlignment="1" applyProtection="1">
      <alignment vertical="center"/>
      <protection hidden="1"/>
    </xf>
    <xf numFmtId="44" fontId="0" fillId="0" borderId="0" xfId="0" applyNumberFormat="1" applyAlignment="1" applyProtection="1">
      <alignment horizontal="right"/>
      <protection hidden="1"/>
    </xf>
    <xf numFmtId="0" fontId="53" fillId="4" borderId="0" xfId="0" applyFont="1" applyFill="1" applyAlignment="1" applyProtection="1">
      <alignment horizontal="left" vertical="center"/>
      <protection hidden="1"/>
    </xf>
    <xf numFmtId="0" fontId="33" fillId="4" borderId="0" xfId="0" applyFont="1" applyFill="1" applyAlignment="1" applyProtection="1">
      <alignment horizontal="left" vertical="center"/>
      <protection hidden="1"/>
    </xf>
    <xf numFmtId="0" fontId="10" fillId="4" borderId="0" xfId="0" applyFont="1" applyFill="1" applyAlignment="1" applyProtection="1">
      <alignment horizontal="left" vertical="center"/>
      <protection hidden="1"/>
    </xf>
    <xf numFmtId="0" fontId="53" fillId="4" borderId="0" xfId="0" applyFont="1" applyFill="1" applyAlignment="1" applyProtection="1">
      <alignment horizontal="left" vertical="center" wrapText="1"/>
      <protection hidden="1"/>
    </xf>
    <xf numFmtId="0" fontId="53" fillId="2" borderId="0" xfId="0" applyFont="1" applyFill="1" applyProtection="1">
      <protection hidden="1"/>
    </xf>
    <xf numFmtId="0" fontId="56" fillId="2" borderId="0" xfId="0" applyFont="1" applyFill="1" applyProtection="1">
      <protection hidden="1"/>
    </xf>
    <xf numFmtId="0" fontId="58" fillId="2" borderId="0" xfId="0" applyFont="1" applyFill="1" applyAlignment="1" applyProtection="1">
      <alignment horizontal="left" vertical="center" indent="1"/>
      <protection hidden="1"/>
    </xf>
    <xf numFmtId="0" fontId="59" fillId="2" borderId="0" xfId="0" applyFont="1" applyFill="1" applyProtection="1">
      <protection hidden="1"/>
    </xf>
    <xf numFmtId="174" fontId="55" fillId="4" borderId="0" xfId="0" applyNumberFormat="1" applyFont="1" applyFill="1" applyAlignment="1" applyProtection="1">
      <alignment horizontal="right" indent="1"/>
      <protection hidden="1"/>
    </xf>
    <xf numFmtId="0" fontId="56" fillId="4" borderId="0" xfId="0" applyFont="1" applyFill="1" applyAlignment="1" applyProtection="1">
      <alignment horizontal="left" vertical="center"/>
      <protection hidden="1"/>
    </xf>
    <xf numFmtId="174" fontId="53" fillId="2" borderId="0" xfId="0" applyNumberFormat="1" applyFont="1" applyFill="1" applyProtection="1">
      <protection hidden="1"/>
    </xf>
    <xf numFmtId="0" fontId="45" fillId="5" borderId="0" xfId="0" applyFont="1" applyFill="1" applyAlignment="1" applyProtection="1">
      <alignment horizontal="left" vertical="center" indent="2"/>
      <protection hidden="1"/>
    </xf>
    <xf numFmtId="0" fontId="45" fillId="5" borderId="0" xfId="0" applyFont="1" applyFill="1" applyAlignment="1" applyProtection="1">
      <alignment horizontal="left" vertical="center"/>
      <protection hidden="1"/>
    </xf>
    <xf numFmtId="0" fontId="84" fillId="5" borderId="0" xfId="0" applyFont="1" applyFill="1" applyAlignment="1" applyProtection="1">
      <alignment horizontal="left" vertical="center"/>
      <protection hidden="1"/>
    </xf>
    <xf numFmtId="174" fontId="3" fillId="5" borderId="0" xfId="0" applyNumberFormat="1" applyFont="1" applyFill="1" applyAlignment="1" applyProtection="1">
      <alignment horizontal="right" vertical="center" indent="1"/>
      <protection hidden="1"/>
    </xf>
    <xf numFmtId="166" fontId="4" fillId="2" borderId="0" xfId="0" applyNumberFormat="1" applyFont="1" applyFill="1" applyAlignment="1" applyProtection="1">
      <alignment horizontal="right" vertical="center"/>
      <protection hidden="1"/>
    </xf>
    <xf numFmtId="0" fontId="0" fillId="2" borderId="0" xfId="0" applyFill="1" applyAlignment="1" applyProtection="1">
      <alignment horizontal="left" vertical="center" wrapText="1" indent="3"/>
      <protection hidden="1"/>
    </xf>
    <xf numFmtId="0" fontId="85" fillId="2" borderId="24" xfId="0" applyFont="1" applyFill="1" applyBorder="1" applyAlignment="1" applyProtection="1">
      <alignment vertical="center"/>
      <protection hidden="1"/>
    </xf>
    <xf numFmtId="1" fontId="45" fillId="2" borderId="24" xfId="0" applyNumberFormat="1" applyFont="1" applyFill="1" applyBorder="1" applyAlignment="1" applyProtection="1">
      <alignment horizontal="left" vertical="center"/>
      <protection hidden="1"/>
    </xf>
    <xf numFmtId="174" fontId="3" fillId="10" borderId="24" xfId="0" applyNumberFormat="1" applyFont="1" applyFill="1" applyBorder="1" applyAlignment="1" applyProtection="1">
      <alignment horizontal="right" vertical="center" indent="1"/>
      <protection hidden="1"/>
    </xf>
    <xf numFmtId="0" fontId="53" fillId="2" borderId="0" xfId="0" applyFont="1" applyFill="1" applyAlignment="1" applyProtection="1">
      <alignment vertical="center" wrapText="1"/>
      <protection hidden="1"/>
    </xf>
    <xf numFmtId="0" fontId="85" fillId="2" borderId="23" xfId="0" applyFont="1" applyFill="1" applyBorder="1" applyAlignment="1" applyProtection="1">
      <alignment vertical="center"/>
      <protection hidden="1"/>
    </xf>
    <xf numFmtId="0" fontId="42" fillId="2" borderId="0" xfId="0" applyFont="1" applyFill="1" applyProtection="1">
      <protection hidden="1"/>
    </xf>
    <xf numFmtId="174" fontId="0" fillId="2" borderId="0" xfId="0" applyNumberFormat="1" applyFill="1" applyAlignment="1" applyProtection="1">
      <alignment horizontal="right" indent="1"/>
      <protection hidden="1"/>
    </xf>
    <xf numFmtId="174" fontId="3" fillId="10" borderId="24" xfId="0" quotePrefix="1" applyNumberFormat="1" applyFont="1" applyFill="1" applyBorder="1" applyAlignment="1" applyProtection="1">
      <alignment horizontal="right" vertical="center" indent="1"/>
      <protection hidden="1"/>
    </xf>
    <xf numFmtId="1" fontId="45" fillId="2" borderId="23" xfId="0" applyNumberFormat="1" applyFont="1" applyFill="1" applyBorder="1" applyAlignment="1" applyProtection="1">
      <alignment horizontal="left" vertical="center"/>
      <protection hidden="1"/>
    </xf>
    <xf numFmtId="174" fontId="3" fillId="10" borderId="23" xfId="0" applyNumberFormat="1" applyFont="1" applyFill="1" applyBorder="1" applyAlignment="1" applyProtection="1">
      <alignment horizontal="right" vertical="center" indent="1"/>
      <protection hidden="1"/>
    </xf>
    <xf numFmtId="0" fontId="53" fillId="4" borderId="0" xfId="1" applyFill="1" applyAlignment="1" applyProtection="1">
      <alignment horizontal="left" vertical="center"/>
      <protection hidden="1"/>
    </xf>
    <xf numFmtId="0" fontId="53" fillId="2" borderId="0" xfId="1" applyFill="1" applyProtection="1">
      <protection hidden="1"/>
    </xf>
    <xf numFmtId="0" fontId="57" fillId="2" borderId="0" xfId="0" applyFont="1" applyFill="1" applyAlignment="1" applyProtection="1">
      <alignment vertical="center" wrapText="1"/>
      <protection hidden="1"/>
    </xf>
    <xf numFmtId="0" fontId="34" fillId="0" borderId="0" xfId="0" applyFont="1" applyAlignment="1" applyProtection="1">
      <alignment vertical="top"/>
      <protection hidden="1"/>
    </xf>
    <xf numFmtId="0" fontId="17" fillId="8" borderId="0" xfId="0" applyFont="1" applyFill="1" applyAlignment="1" applyProtection="1">
      <alignment horizontal="left" vertical="top" wrapText="1"/>
      <protection hidden="1"/>
    </xf>
    <xf numFmtId="0" fontId="107" fillId="2" borderId="0" xfId="0" applyFont="1" applyFill="1" applyProtection="1">
      <protection hidden="1"/>
    </xf>
    <xf numFmtId="0" fontId="107" fillId="2" borderId="0" xfId="0" applyFont="1" applyFill="1" applyAlignment="1" applyProtection="1">
      <alignment horizontal="left"/>
      <protection hidden="1"/>
    </xf>
    <xf numFmtId="0" fontId="13" fillId="5" borderId="0" xfId="0" applyFont="1" applyFill="1" applyProtection="1">
      <protection hidden="1"/>
    </xf>
    <xf numFmtId="0" fontId="22" fillId="8" borderId="0" xfId="0" applyFont="1" applyFill="1" applyAlignment="1" applyProtection="1">
      <alignment vertical="center"/>
      <protection hidden="1"/>
    </xf>
    <xf numFmtId="0" fontId="119" fillId="2" borderId="0" xfId="0" applyFont="1" applyFill="1" applyAlignment="1" applyProtection="1">
      <alignment horizontal="center" vertical="top" wrapText="1"/>
      <protection hidden="1"/>
    </xf>
    <xf numFmtId="9" fontId="72" fillId="6" borderId="7" xfId="2" applyFont="1" applyFill="1" applyBorder="1" applyAlignment="1" applyProtection="1">
      <alignment horizontal="center" vertical="center"/>
      <protection locked="0"/>
    </xf>
    <xf numFmtId="0" fontId="3" fillId="2" borderId="37" xfId="0" applyFont="1" applyFill="1" applyBorder="1" applyAlignment="1" applyProtection="1">
      <alignment horizontal="left" vertical="center" indent="1"/>
      <protection hidden="1"/>
    </xf>
    <xf numFmtId="0" fontId="3" fillId="2" borderId="38" xfId="0" applyFont="1" applyFill="1" applyBorder="1" applyAlignment="1" applyProtection="1">
      <alignment horizontal="left" vertical="center" indent="1"/>
      <protection hidden="1"/>
    </xf>
    <xf numFmtId="0" fontId="11" fillId="2" borderId="41" xfId="0" applyFont="1" applyFill="1" applyBorder="1" applyAlignment="1" applyProtection="1">
      <alignment vertical="center" wrapText="1"/>
      <protection hidden="1"/>
    </xf>
    <xf numFmtId="0" fontId="11" fillId="2" borderId="42" xfId="0" applyFont="1" applyFill="1" applyBorder="1" applyAlignment="1" applyProtection="1">
      <alignment horizontal="left" vertical="center" wrapText="1" indent="1"/>
      <protection hidden="1"/>
    </xf>
    <xf numFmtId="0" fontId="0" fillId="4" borderId="71" xfId="0" applyFill="1" applyBorder="1" applyAlignment="1" applyProtection="1">
      <alignment horizontal="left" vertical="center"/>
      <protection hidden="1"/>
    </xf>
    <xf numFmtId="0" fontId="29" fillId="4" borderId="71" xfId="0" applyFont="1" applyFill="1" applyBorder="1" applyAlignment="1" applyProtection="1">
      <alignment horizontal="left" vertical="center"/>
      <protection hidden="1"/>
    </xf>
    <xf numFmtId="0" fontId="40" fillId="4" borderId="71" xfId="0" applyFont="1" applyFill="1" applyBorder="1" applyAlignment="1" applyProtection="1">
      <alignment horizontal="left" vertical="center"/>
      <protection hidden="1"/>
    </xf>
    <xf numFmtId="0" fontId="40" fillId="4" borderId="71" xfId="0" applyFont="1" applyFill="1" applyBorder="1" applyAlignment="1" applyProtection="1">
      <alignment horizontal="left"/>
      <protection hidden="1"/>
    </xf>
    <xf numFmtId="0" fontId="82" fillId="4" borderId="71" xfId="0" applyFont="1" applyFill="1" applyBorder="1" applyAlignment="1" applyProtection="1">
      <alignment horizontal="left" vertical="center"/>
      <protection hidden="1"/>
    </xf>
    <xf numFmtId="0" fontId="67" fillId="4" borderId="71" xfId="0" applyFont="1" applyFill="1" applyBorder="1" applyAlignment="1" applyProtection="1">
      <alignment horizontal="left" vertical="center"/>
      <protection hidden="1"/>
    </xf>
    <xf numFmtId="0" fontId="50" fillId="4" borderId="71" xfId="0" applyFont="1" applyFill="1" applyBorder="1" applyAlignment="1" applyProtection="1">
      <alignment horizontal="left" vertical="center"/>
      <protection hidden="1"/>
    </xf>
    <xf numFmtId="0" fontId="80" fillId="4" borderId="71" xfId="0" applyFont="1" applyFill="1" applyBorder="1" applyAlignment="1" applyProtection="1">
      <alignment horizontal="left" vertical="center"/>
      <protection hidden="1"/>
    </xf>
    <xf numFmtId="0" fontId="78" fillId="2" borderId="71" xfId="0" applyFont="1" applyFill="1" applyBorder="1" applyAlignment="1" applyProtection="1">
      <alignment horizontal="center" vertical="center"/>
      <protection hidden="1"/>
    </xf>
    <xf numFmtId="0" fontId="3" fillId="4" borderId="71" xfId="0" applyFont="1" applyFill="1" applyBorder="1" applyAlignment="1" applyProtection="1">
      <alignment horizontal="left" vertical="center"/>
      <protection hidden="1"/>
    </xf>
    <xf numFmtId="0" fontId="14" fillId="4" borderId="71" xfId="0" applyFont="1" applyFill="1" applyBorder="1" applyAlignment="1" applyProtection="1">
      <alignment horizontal="left" vertical="center"/>
      <protection hidden="1"/>
    </xf>
    <xf numFmtId="0" fontId="35" fillId="4" borderId="71" xfId="0" applyFont="1" applyFill="1" applyBorder="1" applyAlignment="1" applyProtection="1">
      <alignment horizontal="left" vertical="center"/>
      <protection hidden="1"/>
    </xf>
    <xf numFmtId="0" fontId="0" fillId="4" borderId="71" xfId="0" applyFill="1" applyBorder="1" applyAlignment="1" applyProtection="1">
      <alignment horizontal="center" vertical="center"/>
      <protection hidden="1"/>
    </xf>
    <xf numFmtId="0" fontId="87" fillId="4" borderId="71" xfId="0" applyFont="1" applyFill="1" applyBorder="1" applyAlignment="1" applyProtection="1">
      <alignment horizontal="left" vertical="top"/>
      <protection hidden="1"/>
    </xf>
    <xf numFmtId="0" fontId="102" fillId="4" borderId="71" xfId="0" applyFont="1" applyFill="1" applyBorder="1" applyAlignment="1" applyProtection="1">
      <alignment horizontal="left" vertical="top"/>
      <protection hidden="1"/>
    </xf>
    <xf numFmtId="0" fontId="98" fillId="4" borderId="71" xfId="0" applyFont="1" applyFill="1" applyBorder="1" applyAlignment="1" applyProtection="1">
      <alignment horizontal="left" vertical="top"/>
      <protection hidden="1"/>
    </xf>
    <xf numFmtId="0" fontId="103" fillId="4" borderId="71" xfId="0" applyFont="1" applyFill="1" applyBorder="1" applyAlignment="1" applyProtection="1">
      <alignment horizontal="left" vertical="top"/>
      <protection hidden="1"/>
    </xf>
    <xf numFmtId="0" fontId="104" fillId="4" borderId="71" xfId="0" applyFont="1" applyFill="1" applyBorder="1" applyAlignment="1" applyProtection="1">
      <alignment horizontal="left" vertical="top"/>
      <protection hidden="1"/>
    </xf>
    <xf numFmtId="0" fontId="105" fillId="4" borderId="71" xfId="0" applyFont="1" applyFill="1" applyBorder="1" applyAlignment="1" applyProtection="1">
      <alignment horizontal="left" vertical="top"/>
      <protection hidden="1"/>
    </xf>
    <xf numFmtId="0" fontId="29" fillId="4" borderId="0" xfId="0" applyFont="1" applyFill="1" applyAlignment="1" applyProtection="1">
      <alignment horizontal="right" vertical="center" indent="3"/>
      <protection hidden="1"/>
    </xf>
    <xf numFmtId="1" fontId="3" fillId="6" borderId="45" xfId="2" applyNumberFormat="1" applyFont="1" applyFill="1" applyBorder="1" applyAlignment="1" applyProtection="1">
      <alignment horizontal="left" indent="1"/>
      <protection locked="0"/>
    </xf>
    <xf numFmtId="0" fontId="3" fillId="6" borderId="47" xfId="0" applyFont="1" applyFill="1" applyBorder="1" applyAlignment="1" applyProtection="1">
      <alignment horizontal="left" indent="1"/>
      <protection locked="0"/>
    </xf>
    <xf numFmtId="164" fontId="3" fillId="6" borderId="44" xfId="2" applyNumberFormat="1" applyFont="1" applyFill="1" applyBorder="1" applyAlignment="1" applyProtection="1">
      <alignment horizontal="left" indent="1"/>
      <protection locked="0"/>
    </xf>
    <xf numFmtId="164" fontId="3" fillId="6" borderId="46" xfId="2" applyNumberFormat="1" applyFont="1" applyFill="1" applyBorder="1" applyAlignment="1" applyProtection="1">
      <alignment horizontal="left" indent="1"/>
      <protection locked="0"/>
    </xf>
    <xf numFmtId="1" fontId="3" fillId="6" borderId="29" xfId="0" applyNumberFormat="1" applyFont="1" applyFill="1" applyBorder="1" applyAlignment="1" applyProtection="1">
      <alignment horizontal="left" vertical="center" indent="1"/>
      <protection locked="0"/>
    </xf>
    <xf numFmtId="1" fontId="3" fillId="6" borderId="44" xfId="0" applyNumberFormat="1" applyFont="1" applyFill="1" applyBorder="1" applyAlignment="1" applyProtection="1">
      <alignment horizontal="left" indent="1"/>
      <protection locked="0"/>
    </xf>
    <xf numFmtId="1" fontId="3" fillId="6" borderId="26" xfId="0" applyNumberFormat="1" applyFont="1" applyFill="1" applyBorder="1" applyAlignment="1" applyProtection="1">
      <alignment horizontal="left" indent="1"/>
      <protection locked="0"/>
    </xf>
    <xf numFmtId="164" fontId="3" fillId="5" borderId="44" xfId="0" applyNumberFormat="1" applyFont="1" applyFill="1" applyBorder="1" applyAlignment="1" applyProtection="1">
      <alignment horizontal="left" indent="1"/>
      <protection hidden="1"/>
    </xf>
    <xf numFmtId="175" fontId="118" fillId="6" borderId="47" xfId="2" applyNumberFormat="1" applyFont="1" applyFill="1" applyBorder="1" applyAlignment="1" applyProtection="1">
      <alignment horizontal="left" indent="1"/>
      <protection locked="0"/>
    </xf>
    <xf numFmtId="174" fontId="3" fillId="6" borderId="4" xfId="0" applyNumberFormat="1" applyFont="1" applyFill="1" applyBorder="1" applyAlignment="1" applyProtection="1">
      <alignment horizontal="left" indent="1"/>
      <protection locked="0"/>
    </xf>
    <xf numFmtId="1" fontId="3" fillId="6" borderId="29" xfId="0" applyNumberFormat="1" applyFont="1" applyFill="1" applyBorder="1" applyAlignment="1" applyProtection="1">
      <alignment horizontal="left" indent="1"/>
      <protection locked="0"/>
    </xf>
    <xf numFmtId="166" fontId="3" fillId="6" borderId="46" xfId="0" applyNumberFormat="1" applyFont="1" applyFill="1" applyBorder="1" applyAlignment="1" applyProtection="1">
      <alignment horizontal="left" indent="1"/>
      <protection locked="0"/>
    </xf>
    <xf numFmtId="174" fontId="3" fillId="6" borderId="44" xfId="0" applyNumberFormat="1" applyFont="1" applyFill="1" applyBorder="1" applyAlignment="1" applyProtection="1">
      <alignment horizontal="left" indent="1"/>
      <protection locked="0"/>
    </xf>
    <xf numFmtId="174" fontId="38" fillId="6" borderId="45" xfId="0" applyNumberFormat="1" applyFont="1" applyFill="1" applyBorder="1" applyAlignment="1" applyProtection="1">
      <alignment horizontal="left" indent="1"/>
      <protection locked="0"/>
    </xf>
    <xf numFmtId="174" fontId="38" fillId="6" borderId="46" xfId="0" applyNumberFormat="1" applyFont="1" applyFill="1" applyBorder="1" applyAlignment="1" applyProtection="1">
      <alignment horizontal="left" indent="1"/>
      <protection locked="0"/>
    </xf>
    <xf numFmtId="9" fontId="38" fillId="6" borderId="46" xfId="0" applyNumberFormat="1" applyFont="1" applyFill="1" applyBorder="1" applyAlignment="1" applyProtection="1">
      <alignment horizontal="left" indent="1"/>
      <protection locked="0"/>
    </xf>
    <xf numFmtId="165" fontId="38" fillId="14" borderId="44" xfId="0" applyNumberFormat="1" applyFont="1" applyFill="1" applyBorder="1" applyAlignment="1" applyProtection="1">
      <alignment horizontal="left" indent="1"/>
      <protection locked="0"/>
    </xf>
    <xf numFmtId="165" fontId="38" fillId="14" borderId="45" xfId="0" applyNumberFormat="1" applyFont="1" applyFill="1" applyBorder="1" applyAlignment="1" applyProtection="1">
      <alignment horizontal="left" indent="1"/>
      <protection locked="0"/>
    </xf>
    <xf numFmtId="165" fontId="3" fillId="2" borderId="0" xfId="0" applyNumberFormat="1" applyFont="1" applyFill="1" applyAlignment="1" applyProtection="1">
      <alignment horizontal="left" indent="1"/>
      <protection hidden="1"/>
    </xf>
    <xf numFmtId="165" fontId="38" fillId="14" borderId="4" xfId="0" applyNumberFormat="1" applyFont="1" applyFill="1" applyBorder="1" applyAlignment="1" applyProtection="1">
      <alignment horizontal="left" indent="1"/>
      <protection locked="0"/>
    </xf>
    <xf numFmtId="165" fontId="38" fillId="14" borderId="5" xfId="0" applyNumberFormat="1" applyFont="1" applyFill="1" applyBorder="1" applyAlignment="1" applyProtection="1">
      <alignment horizontal="left" indent="1"/>
      <protection locked="0"/>
    </xf>
    <xf numFmtId="172" fontId="3" fillId="6" borderId="44" xfId="4" applyNumberFormat="1" applyFont="1" applyFill="1" applyBorder="1" applyAlignment="1" applyProtection="1">
      <alignment horizontal="left" indent="1"/>
      <protection locked="0"/>
    </xf>
    <xf numFmtId="172" fontId="3" fillId="6" borderId="46" xfId="4" applyNumberFormat="1" applyFont="1" applyFill="1" applyBorder="1" applyAlignment="1" applyProtection="1">
      <alignment horizontal="left" indent="1"/>
      <protection locked="0"/>
    </xf>
    <xf numFmtId="172" fontId="3" fillId="5" borderId="4" xfId="4" applyNumberFormat="1" applyFont="1" applyFill="1" applyBorder="1" applyAlignment="1" applyProtection="1">
      <alignment horizontal="left" indent="1"/>
      <protection hidden="1"/>
    </xf>
    <xf numFmtId="1" fontId="3" fillId="6" borderId="4" xfId="0" applyNumberFormat="1" applyFont="1" applyFill="1" applyBorder="1" applyAlignment="1" applyProtection="1">
      <alignment horizontal="left" vertical="center" indent="1"/>
      <protection locked="0"/>
    </xf>
    <xf numFmtId="175" fontId="38" fillId="6" borderId="47" xfId="2" applyNumberFormat="1" applyFont="1" applyFill="1" applyBorder="1" applyAlignment="1" applyProtection="1">
      <alignment horizontal="left" indent="1"/>
      <protection locked="0"/>
    </xf>
    <xf numFmtId="1" fontId="3" fillId="6" borderId="44" xfId="4" applyNumberFormat="1" applyFont="1" applyFill="1" applyBorder="1" applyAlignment="1" applyProtection="1">
      <alignment horizontal="left" indent="1"/>
      <protection locked="0"/>
    </xf>
    <xf numFmtId="171" fontId="3" fillId="6" borderId="44" xfId="4" applyNumberFormat="1" applyFont="1" applyFill="1" applyBorder="1" applyAlignment="1" applyProtection="1">
      <alignment horizontal="left" indent="2"/>
      <protection locked="0"/>
    </xf>
    <xf numFmtId="14" fontId="3" fillId="6" borderId="29" xfId="0" applyNumberFormat="1" applyFont="1" applyFill="1" applyBorder="1" applyAlignment="1" applyProtection="1">
      <alignment horizontal="left" indent="1"/>
      <protection locked="0"/>
    </xf>
    <xf numFmtId="14" fontId="3" fillId="6" borderId="5" xfId="2" applyNumberFormat="1" applyFont="1" applyFill="1" applyBorder="1" applyAlignment="1" applyProtection="1">
      <alignment horizontal="left" indent="1"/>
      <protection locked="0"/>
    </xf>
    <xf numFmtId="2" fontId="3" fillId="6" borderId="44" xfId="4" applyNumberFormat="1" applyFont="1" applyFill="1" applyBorder="1" applyAlignment="1" applyProtection="1">
      <alignment horizontal="left" indent="1"/>
      <protection locked="0"/>
    </xf>
    <xf numFmtId="174" fontId="7" fillId="4" borderId="0" xfId="0" applyNumberFormat="1" applyFont="1" applyFill="1" applyAlignment="1" applyProtection="1">
      <alignment horizontal="right" vertical="center" indent="1"/>
      <protection hidden="1"/>
    </xf>
    <xf numFmtId="0" fontId="68" fillId="2" borderId="0" xfId="0" applyFont="1" applyFill="1" applyAlignment="1" applyProtection="1">
      <alignment vertical="top" wrapText="1"/>
      <protection hidden="1"/>
    </xf>
    <xf numFmtId="0" fontId="4" fillId="2" borderId="0" xfId="0" applyFont="1" applyFill="1" applyAlignment="1" applyProtection="1">
      <alignment horizontal="right"/>
      <protection hidden="1"/>
    </xf>
    <xf numFmtId="0" fontId="22" fillId="0" borderId="0" xfId="0" applyFont="1" applyAlignment="1" applyProtection="1">
      <alignment horizontal="left" vertical="center"/>
      <protection hidden="1"/>
    </xf>
    <xf numFmtId="0" fontId="0" fillId="4" borderId="72" xfId="0" applyFill="1" applyBorder="1" applyAlignment="1" applyProtection="1">
      <alignment horizontal="left" vertical="center"/>
      <protection hidden="1"/>
    </xf>
    <xf numFmtId="0" fontId="14" fillId="0" borderId="39" xfId="0" applyFont="1" applyBorder="1" applyAlignment="1" applyProtection="1">
      <alignment vertical="top"/>
      <protection hidden="1"/>
    </xf>
    <xf numFmtId="0" fontId="14" fillId="0" borderId="41" xfId="0" applyFont="1" applyBorder="1" applyAlignment="1" applyProtection="1">
      <alignment vertical="top"/>
      <protection hidden="1"/>
    </xf>
    <xf numFmtId="0" fontId="14" fillId="0" borderId="40" xfId="0" applyFont="1" applyBorder="1" applyAlignment="1" applyProtection="1">
      <alignment vertical="top"/>
      <protection hidden="1"/>
    </xf>
    <xf numFmtId="0" fontId="14" fillId="0" borderId="42" xfId="0" applyFont="1" applyBorder="1" applyAlignment="1" applyProtection="1">
      <alignment vertical="top"/>
      <protection hidden="1"/>
    </xf>
    <xf numFmtId="0" fontId="112" fillId="0" borderId="36" xfId="0" applyFont="1" applyBorder="1" applyAlignment="1" applyProtection="1">
      <alignment vertical="top" wrapText="1"/>
      <protection hidden="1"/>
    </xf>
    <xf numFmtId="0" fontId="112" fillId="0" borderId="37" xfId="0" applyFont="1" applyBorder="1" applyAlignment="1" applyProtection="1">
      <alignment vertical="top" wrapText="1"/>
      <protection hidden="1"/>
    </xf>
    <xf numFmtId="0" fontId="112" fillId="0" borderId="38" xfId="0" applyFont="1" applyBorder="1" applyAlignment="1" applyProtection="1">
      <alignment vertical="top" wrapText="1"/>
      <protection hidden="1"/>
    </xf>
    <xf numFmtId="0" fontId="38" fillId="0" borderId="37" xfId="0" applyFont="1" applyBorder="1" applyAlignment="1" applyProtection="1">
      <alignment vertical="top"/>
      <protection hidden="1"/>
    </xf>
    <xf numFmtId="0" fontId="32" fillId="2" borderId="73" xfId="0" applyFont="1" applyFill="1" applyBorder="1" applyAlignment="1" applyProtection="1">
      <alignment horizontal="left" vertical="top" wrapText="1"/>
      <protection hidden="1"/>
    </xf>
    <xf numFmtId="0" fontId="112" fillId="0" borderId="73" xfId="0" applyFont="1" applyBorder="1" applyAlignment="1" applyProtection="1">
      <alignment vertical="top" wrapText="1"/>
      <protection hidden="1"/>
    </xf>
    <xf numFmtId="0" fontId="14" fillId="0" borderId="73" xfId="0" applyFont="1" applyBorder="1" applyAlignment="1" applyProtection="1">
      <alignment vertical="top"/>
      <protection hidden="1"/>
    </xf>
    <xf numFmtId="14" fontId="3" fillId="2" borderId="0" xfId="0" applyNumberFormat="1" applyFont="1" applyFill="1" applyProtection="1">
      <protection hidden="1"/>
    </xf>
    <xf numFmtId="0" fontId="86" fillId="0" borderId="48" xfId="0" applyFont="1" applyBorder="1" applyAlignment="1" applyProtection="1">
      <alignment horizontal="left" vertical="top" wrapText="1"/>
      <protection hidden="1"/>
    </xf>
    <xf numFmtId="0" fontId="11" fillId="2" borderId="0" xfId="0" applyFont="1" applyFill="1" applyAlignment="1" applyProtection="1">
      <alignment vertical="top"/>
      <protection hidden="1"/>
    </xf>
    <xf numFmtId="0" fontId="41" fillId="2" borderId="0" xfId="0" applyFont="1" applyFill="1" applyAlignment="1" applyProtection="1">
      <alignment horizontal="center" vertical="center" wrapText="1"/>
      <protection hidden="1"/>
    </xf>
    <xf numFmtId="0" fontId="62" fillId="2" borderId="0" xfId="0" applyFont="1" applyFill="1" applyAlignment="1" applyProtection="1">
      <alignment horizontal="center" vertical="center" wrapText="1"/>
      <protection hidden="1"/>
    </xf>
    <xf numFmtId="0" fontId="41" fillId="2" borderId="0" xfId="0" applyFont="1" applyFill="1" applyAlignment="1" applyProtection="1">
      <alignment horizontal="center" vertical="top" wrapText="1"/>
      <protection hidden="1"/>
    </xf>
    <xf numFmtId="0" fontId="4" fillId="2" borderId="0" xfId="0" applyFont="1" applyFill="1" applyAlignment="1" applyProtection="1">
      <alignment horizontal="right" vertical="top"/>
      <protection hidden="1"/>
    </xf>
    <xf numFmtId="0" fontId="32" fillId="2" borderId="0" xfId="0" applyFont="1" applyFill="1" applyAlignment="1" applyProtection="1">
      <alignment horizontal="left" vertical="top" wrapText="1"/>
      <protection hidden="1"/>
    </xf>
    <xf numFmtId="0" fontId="86" fillId="0" borderId="34" xfId="0" applyFont="1" applyBorder="1" applyAlignment="1" applyProtection="1">
      <alignment horizontal="left" vertical="top" wrapText="1"/>
      <protection hidden="1"/>
    </xf>
    <xf numFmtId="0" fontId="41" fillId="2" borderId="0" xfId="0" applyFont="1" applyFill="1" applyAlignment="1" applyProtection="1">
      <alignment vertical="center"/>
      <protection hidden="1"/>
    </xf>
    <xf numFmtId="0" fontId="111" fillId="2" borderId="0" xfId="0" applyFont="1" applyFill="1" applyAlignment="1" applyProtection="1">
      <alignment horizontal="center" vertical="center"/>
      <protection hidden="1"/>
    </xf>
    <xf numFmtId="0" fontId="4" fillId="2" borderId="0" xfId="0" applyFont="1" applyFill="1" applyAlignment="1" applyProtection="1">
      <alignment horizontal="center" vertical="top"/>
      <protection hidden="1"/>
    </xf>
    <xf numFmtId="0" fontId="11" fillId="2" borderId="74" xfId="0" applyFont="1" applyFill="1" applyBorder="1" applyAlignment="1" applyProtection="1">
      <alignment horizontal="left" vertical="center" wrapText="1" indent="1"/>
      <protection hidden="1"/>
    </xf>
    <xf numFmtId="0" fontId="3" fillId="0" borderId="0" xfId="0" applyFont="1" applyAlignment="1" applyProtection="1">
      <alignment horizontal="left" indent="2"/>
      <protection hidden="1"/>
    </xf>
    <xf numFmtId="166" fontId="13" fillId="0" borderId="50" xfId="0" applyNumberFormat="1" applyFont="1" applyBorder="1" applyProtection="1">
      <protection hidden="1"/>
    </xf>
    <xf numFmtId="0" fontId="0" fillId="0" borderId="34" xfId="0" applyBorder="1" applyAlignment="1" applyProtection="1">
      <alignment vertical="top"/>
      <protection hidden="1"/>
    </xf>
    <xf numFmtId="0" fontId="86" fillId="0" borderId="34" xfId="0" quotePrefix="1" applyFont="1" applyBorder="1" applyAlignment="1" applyProtection="1">
      <alignment horizontal="left" vertical="top" wrapText="1"/>
      <protection hidden="1"/>
    </xf>
    <xf numFmtId="0" fontId="37" fillId="0" borderId="34" xfId="0" applyFont="1" applyBorder="1" applyAlignment="1" applyProtection="1">
      <alignment horizontal="left" indent="1"/>
      <protection hidden="1"/>
    </xf>
    <xf numFmtId="0" fontId="34" fillId="0" borderId="34" xfId="0" applyFont="1" applyBorder="1" applyAlignment="1" applyProtection="1">
      <alignment vertical="top"/>
      <protection hidden="1"/>
    </xf>
    <xf numFmtId="0" fontId="93" fillId="2" borderId="0" xfId="0" applyFont="1" applyFill="1" applyProtection="1">
      <protection hidden="1"/>
    </xf>
    <xf numFmtId="0" fontId="90" fillId="0" borderId="0" xfId="0" applyFont="1" applyProtection="1">
      <protection hidden="1"/>
    </xf>
    <xf numFmtId="0" fontId="92" fillId="0" borderId="0" xfId="0" applyFont="1" applyProtection="1">
      <protection hidden="1"/>
    </xf>
    <xf numFmtId="0" fontId="90" fillId="0" borderId="0" xfId="0" applyFont="1" applyAlignment="1" applyProtection="1">
      <alignment horizontal="left" indent="2"/>
      <protection hidden="1"/>
    </xf>
    <xf numFmtId="0" fontId="14" fillId="0" borderId="48" xfId="0" applyFont="1" applyBorder="1" applyAlignment="1" applyProtection="1">
      <alignment horizontal="left" vertical="top" wrapText="1" indent="1"/>
      <protection hidden="1"/>
    </xf>
    <xf numFmtId="0" fontId="35" fillId="0" borderId="48" xfId="0" applyFont="1" applyBorder="1" applyProtection="1">
      <protection hidden="1"/>
    </xf>
    <xf numFmtId="0" fontId="34" fillId="0" borderId="48" xfId="0" applyFont="1" applyBorder="1" applyAlignment="1" applyProtection="1">
      <alignment horizontal="left" vertical="top" wrapText="1"/>
      <protection hidden="1"/>
    </xf>
    <xf numFmtId="0" fontId="3" fillId="2" borderId="37" xfId="0" applyFont="1" applyFill="1" applyBorder="1" applyAlignment="1" applyProtection="1">
      <alignment vertical="center"/>
      <protection hidden="1"/>
    </xf>
    <xf numFmtId="0" fontId="11" fillId="6" borderId="69" xfId="0" applyFont="1" applyFill="1" applyBorder="1" applyAlignment="1" applyProtection="1">
      <alignment horizontal="left" vertical="center" wrapText="1" indent="1"/>
      <protection locked="0"/>
    </xf>
    <xf numFmtId="14" fontId="11" fillId="6" borderId="70" xfId="0" applyNumberFormat="1" applyFont="1" applyFill="1" applyBorder="1" applyAlignment="1" applyProtection="1">
      <alignment horizontal="left" vertical="center" wrapText="1" indent="1"/>
      <protection locked="0"/>
    </xf>
    <xf numFmtId="14" fontId="11" fillId="6" borderId="69" xfId="0" applyNumberFormat="1" applyFont="1" applyFill="1" applyBorder="1" applyAlignment="1" applyProtection="1">
      <alignment horizontal="left" vertical="center" wrapText="1" indent="1"/>
      <protection locked="0"/>
    </xf>
    <xf numFmtId="0" fontId="11" fillId="6" borderId="70" xfId="0" applyFont="1" applyFill="1" applyBorder="1" applyAlignment="1" applyProtection="1">
      <alignment horizontal="left" vertical="center" wrapText="1" indent="1"/>
      <protection locked="0"/>
    </xf>
    <xf numFmtId="0" fontId="121" fillId="6" borderId="69" xfId="0" applyFont="1" applyFill="1" applyBorder="1" applyAlignment="1" applyProtection="1">
      <alignment horizontal="left" vertical="center" wrapText="1" indent="1"/>
      <protection locked="0"/>
    </xf>
    <xf numFmtId="0" fontId="121" fillId="6" borderId="70" xfId="0" applyFont="1" applyFill="1" applyBorder="1" applyAlignment="1" applyProtection="1">
      <alignment horizontal="left" vertical="center" wrapText="1" indent="1"/>
      <protection locked="0"/>
    </xf>
    <xf numFmtId="9" fontId="67" fillId="0" borderId="0" xfId="0" applyNumberFormat="1" applyFont="1" applyProtection="1">
      <protection hidden="1"/>
    </xf>
    <xf numFmtId="175" fontId="3" fillId="6" borderId="47" xfId="2" applyNumberFormat="1" applyFont="1" applyFill="1" applyBorder="1" applyAlignment="1" applyProtection="1">
      <alignment horizontal="left" indent="1"/>
      <protection locked="0"/>
    </xf>
    <xf numFmtId="0" fontId="121" fillId="0" borderId="37" xfId="0" applyFont="1" applyBorder="1" applyAlignment="1" applyProtection="1">
      <alignment horizontal="left" vertical="top" wrapText="1" indent="1"/>
      <protection hidden="1"/>
    </xf>
    <xf numFmtId="0" fontId="30" fillId="5" borderId="0" xfId="0" applyFont="1" applyFill="1" applyAlignment="1">
      <alignment horizontal="left" indent="2"/>
    </xf>
    <xf numFmtId="0" fontId="29" fillId="5" borderId="0" xfId="0" applyFont="1" applyFill="1" applyAlignment="1">
      <alignment horizontal="right" vertical="center"/>
    </xf>
    <xf numFmtId="0" fontId="0" fillId="2" borderId="58" xfId="0" applyFill="1" applyBorder="1" applyAlignment="1">
      <alignment horizontal="left" wrapText="1"/>
    </xf>
    <xf numFmtId="0" fontId="0" fillId="2" borderId="59" xfId="0" applyFill="1" applyBorder="1" applyAlignment="1">
      <alignment horizontal="left" wrapText="1"/>
    </xf>
    <xf numFmtId="0" fontId="0" fillId="2" borderId="58" xfId="0" applyFill="1" applyBorder="1" applyAlignment="1">
      <alignment horizontal="left"/>
    </xf>
    <xf numFmtId="0" fontId="0" fillId="2" borderId="59" xfId="0" applyFill="1" applyBorder="1" applyAlignment="1">
      <alignment horizontal="left"/>
    </xf>
    <xf numFmtId="0" fontId="115" fillId="2" borderId="58" xfId="0" applyFont="1" applyFill="1" applyBorder="1" applyAlignment="1">
      <alignment horizontal="left"/>
    </xf>
    <xf numFmtId="0" fontId="60" fillId="2" borderId="0" xfId="0" applyFont="1" applyFill="1" applyAlignment="1">
      <alignment horizontal="left" wrapText="1"/>
    </xf>
    <xf numFmtId="0" fontId="0" fillId="2" borderId="50" xfId="0" applyFill="1" applyBorder="1" applyAlignment="1">
      <alignment horizontal="left" wrapText="1"/>
    </xf>
    <xf numFmtId="0" fontId="0" fillId="2" borderId="0" xfId="0" applyFill="1" applyAlignment="1">
      <alignment horizontal="left" wrapText="1"/>
    </xf>
    <xf numFmtId="0" fontId="60" fillId="2" borderId="58" xfId="0" applyFont="1" applyFill="1" applyBorder="1" applyAlignment="1">
      <alignment horizontal="left" vertical="top" wrapText="1"/>
    </xf>
    <xf numFmtId="0" fontId="0" fillId="2" borderId="59" xfId="0" applyFill="1" applyBorder="1" applyAlignment="1">
      <alignment horizontal="left" vertical="top"/>
    </xf>
    <xf numFmtId="1" fontId="45" fillId="2" borderId="24" xfId="0" applyNumberFormat="1" applyFont="1" applyFill="1" applyBorder="1" applyAlignment="1" applyProtection="1">
      <alignment horizontal="left" vertical="center"/>
      <protection hidden="1"/>
    </xf>
    <xf numFmtId="0" fontId="3" fillId="2" borderId="37" xfId="0" applyFont="1" applyFill="1" applyBorder="1" applyAlignment="1" applyProtection="1">
      <alignment horizontal="left" vertical="center" indent="1"/>
      <protection hidden="1"/>
    </xf>
    <xf numFmtId="14" fontId="11" fillId="6" borderId="69" xfId="0" applyNumberFormat="1" applyFont="1" applyFill="1" applyBorder="1" applyAlignment="1" applyProtection="1">
      <alignment horizontal="left" vertical="center" wrapText="1" indent="1"/>
      <protection locked="0"/>
    </xf>
    <xf numFmtId="0" fontId="11" fillId="6" borderId="69" xfId="0" applyFont="1" applyFill="1" applyBorder="1" applyAlignment="1" applyProtection="1">
      <alignment horizontal="left" vertical="center" wrapText="1" indent="1"/>
      <protection locked="0"/>
    </xf>
    <xf numFmtId="0" fontId="3" fillId="2" borderId="36" xfId="0" applyFont="1" applyFill="1" applyBorder="1" applyAlignment="1" applyProtection="1">
      <alignment horizontal="left" vertical="center" indent="2"/>
      <protection hidden="1"/>
    </xf>
    <xf numFmtId="0" fontId="3" fillId="2" borderId="37" xfId="0" applyFont="1" applyFill="1" applyBorder="1" applyAlignment="1" applyProtection="1">
      <alignment horizontal="left" vertical="center" indent="2"/>
      <protection hidden="1"/>
    </xf>
    <xf numFmtId="0" fontId="11" fillId="6" borderId="35" xfId="0" applyFont="1" applyFill="1" applyBorder="1" applyAlignment="1" applyProtection="1">
      <alignment horizontal="left" vertical="center" wrapText="1" indent="1"/>
      <protection locked="0"/>
    </xf>
    <xf numFmtId="0" fontId="11" fillId="6" borderId="68" xfId="0" applyFont="1" applyFill="1" applyBorder="1" applyAlignment="1" applyProtection="1">
      <alignment horizontal="left" vertical="center" wrapText="1" indent="1"/>
      <protection locked="0"/>
    </xf>
    <xf numFmtId="0" fontId="13" fillId="0" borderId="36" xfId="0" applyFont="1" applyBorder="1" applyAlignment="1" applyProtection="1">
      <alignment horizontal="left" indent="1"/>
      <protection hidden="1"/>
    </xf>
    <xf numFmtId="0" fontId="13" fillId="0" borderId="37" xfId="0" applyFont="1" applyBorder="1" applyAlignment="1" applyProtection="1">
      <alignment horizontal="left" indent="1"/>
      <protection hidden="1"/>
    </xf>
    <xf numFmtId="0" fontId="13" fillId="0" borderId="38" xfId="0" applyFont="1" applyBorder="1" applyAlignment="1" applyProtection="1">
      <alignment horizontal="left" indent="1"/>
      <protection hidden="1"/>
    </xf>
    <xf numFmtId="0" fontId="14" fillId="0" borderId="39" xfId="0" applyFont="1" applyBorder="1" applyAlignment="1" applyProtection="1">
      <alignment horizontal="left" vertical="top" wrapText="1" indent="1"/>
      <protection hidden="1"/>
    </xf>
    <xf numFmtId="0" fontId="14" fillId="0" borderId="0" xfId="0" applyFont="1" applyAlignment="1" applyProtection="1">
      <alignment horizontal="left" vertical="top" wrapText="1" indent="1"/>
      <protection hidden="1"/>
    </xf>
    <xf numFmtId="0" fontId="14" fillId="0" borderId="40" xfId="0" applyFont="1" applyBorder="1" applyAlignment="1" applyProtection="1">
      <alignment horizontal="left" vertical="top" wrapText="1" indent="1"/>
      <protection hidden="1"/>
    </xf>
    <xf numFmtId="0" fontId="14" fillId="0" borderId="41" xfId="0" applyFont="1" applyBorder="1" applyAlignment="1" applyProtection="1">
      <alignment horizontal="left" vertical="top" wrapText="1" indent="1"/>
      <protection hidden="1"/>
    </xf>
    <xf numFmtId="0" fontId="14" fillId="0" borderId="35" xfId="0" applyFont="1" applyBorder="1" applyAlignment="1" applyProtection="1">
      <alignment horizontal="left" vertical="top" wrapText="1" indent="1"/>
      <protection hidden="1"/>
    </xf>
    <xf numFmtId="0" fontId="14" fillId="0" borderId="42" xfId="0" applyFont="1" applyBorder="1" applyAlignment="1" applyProtection="1">
      <alignment horizontal="left" vertical="top" wrapText="1" indent="1"/>
      <protection hidden="1"/>
    </xf>
    <xf numFmtId="0" fontId="86" fillId="6" borderId="0" xfId="0" quotePrefix="1" applyFont="1" applyFill="1" applyAlignment="1" applyProtection="1">
      <alignment horizontal="left" vertical="top" wrapText="1"/>
      <protection locked="0"/>
    </xf>
    <xf numFmtId="0" fontId="86" fillId="6" borderId="21" xfId="0" quotePrefix="1" applyFont="1" applyFill="1" applyBorder="1" applyAlignment="1" applyProtection="1">
      <alignment horizontal="left" vertical="top" wrapText="1"/>
      <protection locked="0"/>
    </xf>
    <xf numFmtId="0" fontId="108" fillId="11" borderId="12" xfId="0" applyFont="1" applyFill="1" applyBorder="1" applyAlignment="1" applyProtection="1">
      <alignment horizontal="left" vertical="center" wrapText="1" indent="1"/>
      <protection hidden="1"/>
    </xf>
    <xf numFmtId="0" fontId="117" fillId="15" borderId="0" xfId="0" applyFont="1" applyFill="1" applyAlignment="1" applyProtection="1">
      <alignment vertical="top" wrapText="1"/>
      <protection hidden="1"/>
    </xf>
    <xf numFmtId="0" fontId="47" fillId="15" borderId="0" xfId="0" applyFont="1" applyFill="1" applyAlignment="1" applyProtection="1">
      <alignment vertical="top" wrapText="1"/>
      <protection hidden="1"/>
    </xf>
    <xf numFmtId="0" fontId="17" fillId="8" borderId="0" xfId="0" applyFont="1" applyFill="1" applyAlignment="1" applyProtection="1">
      <alignment horizontal="left" vertical="top" wrapText="1"/>
      <protection hidden="1"/>
    </xf>
    <xf numFmtId="0" fontId="13" fillId="0" borderId="36" xfId="0" applyFont="1" applyBorder="1" applyAlignment="1" applyProtection="1">
      <alignment horizontal="left"/>
      <protection hidden="1"/>
    </xf>
    <xf numFmtId="0" fontId="13" fillId="0" borderId="38" xfId="0" applyFont="1" applyBorder="1" applyAlignment="1" applyProtection="1">
      <alignment horizontal="left"/>
      <protection hidden="1"/>
    </xf>
    <xf numFmtId="0" fontId="108" fillId="11" borderId="12" xfId="0" applyFont="1" applyFill="1" applyBorder="1" applyAlignment="1" applyProtection="1">
      <alignment horizontal="left" vertical="top" wrapText="1" indent="1"/>
      <protection hidden="1"/>
    </xf>
    <xf numFmtId="14" fontId="11" fillId="6" borderId="70" xfId="0" applyNumberFormat="1" applyFont="1" applyFill="1" applyBorder="1" applyAlignment="1" applyProtection="1">
      <alignment horizontal="left" vertical="center" wrapText="1" indent="1"/>
      <protection locked="0"/>
    </xf>
    <xf numFmtId="14" fontId="11" fillId="6" borderId="68" xfId="0" applyNumberFormat="1" applyFont="1" applyFill="1" applyBorder="1" applyAlignment="1" applyProtection="1">
      <alignment horizontal="left" vertical="center" wrapText="1" indent="1"/>
      <protection locked="0"/>
    </xf>
    <xf numFmtId="0" fontId="107" fillId="11" borderId="12" xfId="0" applyFont="1" applyFill="1" applyBorder="1" applyAlignment="1" applyProtection="1">
      <alignment horizontal="left" vertical="top" wrapText="1" indent="1"/>
      <protection hidden="1"/>
    </xf>
    <xf numFmtId="0" fontId="117" fillId="15" borderId="0" xfId="0" applyFont="1" applyFill="1" applyAlignment="1" applyProtection="1">
      <alignment horizontal="left" vertical="top" wrapText="1"/>
      <protection hidden="1"/>
    </xf>
    <xf numFmtId="0" fontId="47" fillId="15" borderId="0" xfId="0" applyFont="1" applyFill="1" applyAlignment="1" applyProtection="1">
      <alignment horizontal="left" vertical="top" wrapText="1"/>
      <protection hidden="1"/>
    </xf>
    <xf numFmtId="0" fontId="63" fillId="2" borderId="0" xfId="0" applyFont="1" applyFill="1" applyAlignment="1" applyProtection="1">
      <alignment horizontal="left" wrapText="1"/>
      <protection hidden="1"/>
    </xf>
    <xf numFmtId="0" fontId="13" fillId="6" borderId="0" xfId="0" applyFont="1" applyFill="1" applyAlignment="1" applyProtection="1">
      <alignment horizontal="left" vertical="top" wrapText="1"/>
      <protection locked="0"/>
    </xf>
    <xf numFmtId="0" fontId="13" fillId="6" borderId="35" xfId="0" applyFont="1" applyFill="1" applyBorder="1" applyAlignment="1" applyProtection="1">
      <alignment horizontal="left" vertical="top" wrapText="1"/>
      <protection locked="0"/>
    </xf>
    <xf numFmtId="166" fontId="38" fillId="2" borderId="37" xfId="0" applyNumberFormat="1" applyFont="1" applyFill="1" applyBorder="1" applyAlignment="1" applyProtection="1">
      <alignment horizontal="left"/>
      <protection hidden="1"/>
    </xf>
    <xf numFmtId="0" fontId="121" fillId="6" borderId="35" xfId="0" applyFont="1" applyFill="1" applyBorder="1" applyAlignment="1" applyProtection="1">
      <alignment horizontal="left" vertical="center" wrapText="1" indent="1"/>
      <protection locked="0"/>
    </xf>
    <xf numFmtId="0" fontId="121" fillId="6" borderId="68" xfId="0" applyFont="1" applyFill="1" applyBorder="1" applyAlignment="1" applyProtection="1">
      <alignment horizontal="left" vertical="center" wrapText="1" indent="1"/>
      <protection locked="0"/>
    </xf>
    <xf numFmtId="0" fontId="121" fillId="0" borderId="36" xfId="0" applyFont="1" applyBorder="1" applyAlignment="1" applyProtection="1">
      <alignment horizontal="left" indent="2"/>
      <protection hidden="1"/>
    </xf>
    <xf numFmtId="0" fontId="121" fillId="0" borderId="37" xfId="0" applyFont="1" applyBorder="1" applyAlignment="1" applyProtection="1">
      <alignment horizontal="left" indent="2"/>
      <protection hidden="1"/>
    </xf>
    <xf numFmtId="0" fontId="121" fillId="0" borderId="37" xfId="0" applyFont="1" applyBorder="1" applyAlignment="1" applyProtection="1">
      <alignment horizontal="left" vertical="top" wrapText="1" indent="1"/>
      <protection hidden="1"/>
    </xf>
    <xf numFmtId="0" fontId="121" fillId="0" borderId="38" xfId="0" applyFont="1" applyBorder="1" applyAlignment="1" applyProtection="1">
      <alignment horizontal="left" vertical="top" wrapText="1" indent="1"/>
      <protection hidden="1"/>
    </xf>
    <xf numFmtId="0" fontId="38" fillId="0" borderId="37" xfId="0" applyFont="1" applyBorder="1" applyAlignment="1" applyProtection="1">
      <alignment horizontal="left" vertical="top" wrapText="1"/>
      <protection hidden="1"/>
    </xf>
    <xf numFmtId="0" fontId="17" fillId="8" borderId="0" xfId="0" applyFont="1" applyFill="1" applyAlignment="1" applyProtection="1">
      <alignment horizontal="left" vertical="top" wrapText="1" indent="1"/>
      <protection hidden="1"/>
    </xf>
    <xf numFmtId="0" fontId="86" fillId="6" borderId="0" xfId="0" applyFont="1" applyFill="1" applyAlignment="1" applyProtection="1">
      <alignment horizontal="left" vertical="top" wrapText="1"/>
      <protection locked="0"/>
    </xf>
    <xf numFmtId="0" fontId="86" fillId="6" borderId="35" xfId="0" applyFont="1" applyFill="1" applyBorder="1" applyAlignment="1" applyProtection="1">
      <alignment horizontal="left" vertical="top" wrapText="1"/>
      <protection locked="0"/>
    </xf>
    <xf numFmtId="167" fontId="3" fillId="6" borderId="52" xfId="0" applyNumberFormat="1" applyFont="1" applyFill="1" applyBorder="1" applyAlignment="1" applyProtection="1">
      <alignment horizontal="left" vertical="center" indent="1"/>
      <protection locked="0"/>
    </xf>
    <xf numFmtId="167" fontId="3" fillId="6" borderId="6" xfId="0" applyNumberFormat="1" applyFont="1" applyFill="1" applyBorder="1" applyAlignment="1" applyProtection="1">
      <alignment horizontal="left" vertical="center" indent="1"/>
      <protection locked="0"/>
    </xf>
    <xf numFmtId="0" fontId="11" fillId="6" borderId="70" xfId="0" applyFont="1" applyFill="1" applyBorder="1" applyAlignment="1" applyProtection="1">
      <alignment horizontal="left" vertical="center" wrapText="1" indent="1"/>
      <protection locked="0"/>
    </xf>
    <xf numFmtId="0" fontId="47" fillId="8" borderId="0" xfId="0" applyFont="1" applyFill="1" applyAlignment="1" applyProtection="1">
      <alignment horizontal="left" vertical="center" wrapText="1"/>
      <protection hidden="1"/>
    </xf>
    <xf numFmtId="0" fontId="11" fillId="2" borderId="0" xfId="0" applyFont="1" applyFill="1" applyAlignment="1" applyProtection="1">
      <alignment horizontal="center" vertical="top" wrapText="1"/>
      <protection hidden="1"/>
    </xf>
    <xf numFmtId="174" fontId="3" fillId="6" borderId="4" xfId="0" applyNumberFormat="1" applyFont="1" applyFill="1" applyBorder="1" applyAlignment="1" applyProtection="1">
      <alignment horizontal="right" vertical="center" indent="1"/>
      <protection locked="0"/>
    </xf>
    <xf numFmtId="165" fontId="3" fillId="6" borderId="8" xfId="2" applyNumberFormat="1" applyFont="1" applyFill="1" applyBorder="1" applyAlignment="1" applyProtection="1">
      <alignment horizontal="center"/>
      <protection locked="0"/>
    </xf>
    <xf numFmtId="165" fontId="3" fillId="6" borderId="7" xfId="2" applyNumberFormat="1" applyFont="1" applyFill="1" applyBorder="1" applyAlignment="1" applyProtection="1">
      <alignment horizontal="center"/>
      <protection locked="0"/>
    </xf>
    <xf numFmtId="9" fontId="3" fillId="5" borderId="8" xfId="2" applyFont="1" applyFill="1" applyBorder="1" applyAlignment="1" applyProtection="1">
      <alignment horizontal="center" vertical="center"/>
      <protection hidden="1"/>
    </xf>
    <xf numFmtId="9" fontId="3" fillId="5" borderId="4" xfId="2" applyFont="1" applyFill="1" applyBorder="1" applyAlignment="1" applyProtection="1">
      <alignment horizontal="center" vertical="center"/>
      <protection hidden="1"/>
    </xf>
    <xf numFmtId="9" fontId="3" fillId="5" borderId="6" xfId="2" applyFont="1" applyFill="1" applyBorder="1" applyAlignment="1" applyProtection="1">
      <alignment horizontal="center" vertical="center"/>
      <protection hidden="1"/>
    </xf>
    <xf numFmtId="0" fontId="68" fillId="2" borderId="0" xfId="0" applyFont="1" applyFill="1" applyAlignment="1" applyProtection="1">
      <alignment horizontal="right" vertical="top" wrapText="1"/>
      <protection hidden="1"/>
    </xf>
    <xf numFmtId="0" fontId="14" fillId="0" borderId="39" xfId="0" applyFont="1" applyBorder="1" applyAlignment="1" applyProtection="1">
      <alignment horizontal="left" vertical="top" wrapText="1" indent="2"/>
      <protection hidden="1"/>
    </xf>
    <xf numFmtId="0" fontId="14" fillId="0" borderId="0" xfId="0" applyFont="1" applyAlignment="1" applyProtection="1">
      <alignment horizontal="left" vertical="top" wrapText="1" indent="2"/>
      <protection hidden="1"/>
    </xf>
    <xf numFmtId="0" fontId="14" fillId="0" borderId="40" xfId="0" applyFont="1" applyBorder="1" applyAlignment="1" applyProtection="1">
      <alignment horizontal="left" vertical="top" wrapText="1" indent="2"/>
      <protection hidden="1"/>
    </xf>
    <xf numFmtId="0" fontId="14" fillId="0" borderId="41" xfId="0" applyFont="1" applyBorder="1" applyAlignment="1" applyProtection="1">
      <alignment horizontal="left" vertical="top" wrapText="1" indent="2"/>
      <protection hidden="1"/>
    </xf>
    <xf numFmtId="0" fontId="14" fillId="0" borderId="35" xfId="0" applyFont="1" applyBorder="1" applyAlignment="1" applyProtection="1">
      <alignment horizontal="left" vertical="top" wrapText="1" indent="2"/>
      <protection hidden="1"/>
    </xf>
    <xf numFmtId="0" fontId="14" fillId="0" borderId="42" xfId="0" applyFont="1" applyBorder="1" applyAlignment="1" applyProtection="1">
      <alignment horizontal="left" vertical="top" wrapText="1" indent="2"/>
      <protection hidden="1"/>
    </xf>
    <xf numFmtId="0" fontId="14" fillId="6" borderId="0" xfId="0" applyFont="1" applyFill="1" applyAlignment="1" applyProtection="1">
      <alignment horizontal="center" vertical="top" wrapText="1"/>
      <protection locked="0"/>
    </xf>
    <xf numFmtId="0" fontId="14" fillId="6" borderId="35" xfId="0" applyFont="1" applyFill="1" applyBorder="1" applyAlignment="1" applyProtection="1">
      <alignment horizontal="center" vertical="top" wrapText="1"/>
      <protection locked="0"/>
    </xf>
    <xf numFmtId="0" fontId="120" fillId="0" borderId="36" xfId="0" applyFont="1" applyBorder="1" applyAlignment="1" applyProtection="1">
      <alignment horizontal="left" vertical="top" indent="1"/>
      <protection hidden="1"/>
    </xf>
    <xf numFmtId="0" fontId="120" fillId="0" borderId="37" xfId="0" applyFont="1" applyBorder="1" applyAlignment="1" applyProtection="1">
      <alignment horizontal="left" vertical="top" indent="1"/>
      <protection hidden="1"/>
    </xf>
    <xf numFmtId="0" fontId="120" fillId="0" borderId="38" xfId="0" applyFont="1" applyBorder="1" applyAlignment="1" applyProtection="1">
      <alignment horizontal="left" vertical="top" indent="1"/>
      <protection hidden="1"/>
    </xf>
    <xf numFmtId="164" fontId="3" fillId="6" borderId="44" xfId="0" applyNumberFormat="1" applyFont="1" applyFill="1" applyBorder="1" applyAlignment="1" applyProtection="1">
      <alignment horizontal="left" indent="1"/>
      <protection locked="0"/>
    </xf>
  </cellXfs>
  <cellStyles count="5">
    <cellStyle name="Hyperkobling" xfId="3" builtinId="8"/>
    <cellStyle name="Komma" xfId="4" builtinId="3"/>
    <cellStyle name="Normal" xfId="0" builtinId="0"/>
    <cellStyle name="Prosent" xfId="2" builtinId="5"/>
    <cellStyle name="Radnivå_1" xfId="1" builtinId="1" iLevel="0"/>
  </cellStyles>
  <dxfs count="71">
    <dxf>
      <border>
        <left style="thin">
          <color theme="0"/>
        </left>
        <right style="thin">
          <color theme="0"/>
        </right>
        <top style="thin">
          <color theme="0"/>
        </top>
        <bottom style="thin">
          <color theme="0"/>
        </bottom>
        <vertical/>
        <horizontal/>
      </border>
    </dxf>
    <dxf>
      <border>
        <left style="thin">
          <color theme="0"/>
        </left>
        <right style="thin">
          <color theme="0"/>
        </right>
        <top style="thin">
          <color theme="0"/>
        </top>
        <bottom style="thin">
          <color theme="0"/>
        </bottom>
        <vertical/>
        <horizontal/>
      </border>
    </dxf>
    <dxf>
      <border>
        <left style="thin">
          <color theme="0"/>
        </left>
        <right style="thin">
          <color theme="0"/>
        </right>
        <top style="thin">
          <color theme="0"/>
        </top>
        <bottom style="thin">
          <color theme="0"/>
        </bottom>
        <vertical/>
        <horizontal/>
      </border>
    </dxf>
    <dxf>
      <border>
        <left style="thin">
          <color theme="0"/>
        </left>
        <right style="thin">
          <color theme="0"/>
        </right>
        <top style="thin">
          <color theme="0"/>
        </top>
        <bottom style="thin">
          <color theme="0"/>
        </bottom>
        <vertical/>
        <horizontal/>
      </border>
    </dxf>
    <dxf>
      <border>
        <left style="thin">
          <color theme="0"/>
        </left>
        <right style="thin">
          <color theme="0"/>
        </right>
        <top style="thin">
          <color theme="0"/>
        </top>
        <bottom style="thin">
          <color theme="0"/>
        </bottom>
        <vertical/>
        <horizontal/>
      </border>
    </dxf>
    <dxf>
      <font>
        <color theme="0" tint="-0.34998626667073579"/>
      </font>
    </dxf>
    <dxf>
      <font>
        <color theme="0" tint="-0.34998626667073579"/>
      </font>
    </dxf>
    <dxf>
      <border>
        <left style="thin">
          <color theme="0"/>
        </left>
        <right style="thin">
          <color theme="0"/>
        </right>
        <top style="thin">
          <color theme="0"/>
        </top>
        <bottom style="thin">
          <color theme="0"/>
        </bottom>
        <vertical/>
        <horizontal/>
      </border>
    </dxf>
    <dxf>
      <border>
        <left style="thin">
          <color theme="0"/>
        </left>
        <right style="thin">
          <color theme="0"/>
        </right>
        <top style="thin">
          <color theme="0"/>
        </top>
        <bottom style="thin">
          <color theme="0"/>
        </bottom>
        <vertical/>
        <horizontal/>
      </border>
    </dxf>
    <dxf>
      <border>
        <left style="thin">
          <color theme="0"/>
        </left>
        <right style="thin">
          <color theme="0"/>
        </right>
        <top style="thin">
          <color theme="0"/>
        </top>
        <bottom style="thin">
          <color theme="0"/>
        </bottom>
        <vertical/>
        <horizontal/>
      </border>
    </dxf>
    <dxf>
      <border>
        <left style="thin">
          <color theme="0"/>
        </left>
        <right style="thin">
          <color theme="0"/>
        </right>
        <top style="thin">
          <color theme="0"/>
        </top>
        <bottom style="thin">
          <color theme="0"/>
        </bottom>
        <vertical/>
        <horizontal/>
      </border>
    </dxf>
    <dxf>
      <border>
        <left style="thin">
          <color theme="0"/>
        </left>
        <right style="thin">
          <color theme="0"/>
        </right>
        <top style="thin">
          <color theme="0"/>
        </top>
        <bottom style="thin">
          <color theme="0"/>
        </bottom>
        <vertical/>
        <horizontal/>
      </border>
    </dxf>
    <dxf>
      <font>
        <color theme="0" tint="-0.34998626667073579"/>
      </font>
    </dxf>
    <dxf>
      <fill>
        <patternFill>
          <bgColor rgb="FFE4EFE4"/>
        </patternFill>
      </fill>
    </dxf>
    <dxf>
      <font>
        <color theme="0" tint="-0.34998626667073579"/>
      </font>
    </dxf>
    <dxf>
      <fill>
        <patternFill>
          <bgColor rgb="FFE4EFE4"/>
        </patternFill>
      </fill>
    </dxf>
    <dxf>
      <font>
        <color theme="0" tint="-0.34998626667073579"/>
      </font>
    </dxf>
    <dxf>
      <fill>
        <patternFill>
          <bgColor rgb="FFE4EFE4"/>
        </patternFill>
      </fill>
    </dxf>
    <dxf>
      <font>
        <color theme="0" tint="-0.34998626667073579"/>
      </font>
    </dxf>
    <dxf>
      <fill>
        <patternFill>
          <bgColor rgb="FFE4EFE4"/>
        </patternFill>
      </fill>
    </dxf>
    <dxf>
      <font>
        <color theme="0" tint="-0.34998626667073579"/>
      </font>
    </dxf>
    <dxf>
      <fill>
        <patternFill>
          <bgColor rgb="FFE4EFE4"/>
        </patternFill>
      </fill>
    </dxf>
    <dxf>
      <font>
        <color theme="0" tint="-0.34998626667073579"/>
      </font>
    </dxf>
    <dxf>
      <font>
        <color theme="0" tint="-0.34998626667073579"/>
      </font>
    </dxf>
    <dxf>
      <font>
        <b val="0"/>
        <i val="0"/>
        <strike val="0"/>
        <color rgb="FFF15540"/>
      </font>
    </dxf>
    <dxf>
      <font>
        <color theme="0" tint="-0.499984740745262"/>
      </font>
    </dxf>
    <dxf>
      <font>
        <color rgb="FFFF0000"/>
      </font>
    </dxf>
    <dxf>
      <font>
        <color theme="0" tint="-0.499984740745262"/>
      </font>
    </dxf>
    <dxf>
      <font>
        <color theme="0" tint="-0.499984740745262"/>
      </font>
    </dxf>
    <dxf>
      <font>
        <color rgb="FFFF0000"/>
      </font>
    </dxf>
    <dxf>
      <font>
        <color theme="0" tint="-0.499984740745262"/>
      </font>
    </dxf>
    <dxf>
      <border>
        <left style="thin">
          <color theme="0"/>
        </left>
        <right style="thin">
          <color theme="0"/>
        </right>
        <top style="thin">
          <color theme="0"/>
        </top>
        <bottom style="thin">
          <color theme="0"/>
        </bottom>
        <vertical/>
        <horizontal/>
      </border>
    </dxf>
    <dxf>
      <font>
        <color rgb="FFF15540"/>
      </font>
      <numFmt numFmtId="13" formatCode="0\ %"/>
    </dxf>
    <dxf>
      <font>
        <color rgb="FFF15540"/>
      </font>
      <numFmt numFmtId="13" formatCode="0\ %"/>
    </dxf>
    <dxf>
      <font>
        <color theme="0" tint="-0.34998626667073579"/>
      </font>
    </dxf>
    <dxf>
      <font>
        <color theme="0" tint="-0.499984740745262"/>
      </font>
    </dxf>
    <dxf>
      <font>
        <color rgb="FFFF0000"/>
      </font>
    </dxf>
    <dxf>
      <font>
        <color theme="0" tint="-0.499984740745262"/>
      </font>
    </dxf>
    <dxf>
      <font>
        <color theme="0" tint="-0.499984740745262"/>
      </font>
    </dxf>
    <dxf>
      <font>
        <color rgb="FFFF0000"/>
      </font>
    </dxf>
    <dxf>
      <font>
        <color theme="0" tint="-0.499984740745262"/>
      </font>
    </dxf>
    <dxf>
      <font>
        <color theme="0" tint="-0.34998626667073579"/>
      </font>
    </dxf>
    <dxf>
      <font>
        <color theme="0" tint="-0.499984740745262"/>
      </font>
    </dxf>
    <dxf>
      <font>
        <color rgb="FFFF0000"/>
      </font>
    </dxf>
    <dxf>
      <font>
        <color theme="0" tint="-0.499984740745262"/>
      </font>
    </dxf>
    <dxf>
      <font>
        <color theme="0" tint="-0.499984740745262"/>
      </font>
    </dxf>
    <dxf>
      <font>
        <color rgb="FFFF0000"/>
      </font>
    </dxf>
    <dxf>
      <font>
        <color theme="0" tint="-0.499984740745262"/>
      </font>
    </dxf>
    <dxf>
      <fill>
        <patternFill>
          <bgColor theme="0"/>
        </patternFill>
      </fill>
    </dxf>
    <dxf>
      <fill>
        <patternFill>
          <bgColor theme="0"/>
        </patternFill>
      </fill>
    </dxf>
    <dxf>
      <font>
        <color theme="0" tint="-0.34998626667073579"/>
      </font>
    </dxf>
    <dxf>
      <fill>
        <patternFill>
          <bgColor theme="0"/>
        </patternFill>
      </fill>
    </dxf>
    <dxf>
      <font>
        <color theme="0" tint="-0.34998626667073579"/>
      </font>
    </dxf>
    <dxf>
      <fill>
        <patternFill>
          <bgColor theme="0"/>
        </patternFill>
      </fill>
    </dxf>
    <dxf>
      <font>
        <color theme="0" tint="-0.34998626667073579"/>
      </font>
    </dxf>
    <dxf>
      <font>
        <color theme="0" tint="-0.34998626667073579"/>
      </font>
    </dxf>
    <dxf>
      <fill>
        <patternFill>
          <bgColor theme="0"/>
        </patternFill>
      </fill>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rgb="FFF2EFED"/>
      </font>
      <fill>
        <patternFill>
          <bgColor rgb="FFF2EFED"/>
        </patternFill>
      </fill>
    </dxf>
    <dxf>
      <font>
        <color theme="1" tint="0.24994659260841701"/>
      </font>
      <fill>
        <patternFill>
          <bgColor rgb="FFE4EFE4"/>
        </patternFill>
      </fill>
    </dxf>
    <dxf>
      <font>
        <color theme="0" tint="-0.34998626667073579"/>
      </font>
    </dxf>
    <dxf>
      <font>
        <color theme="0" tint="-0.34998626667073579"/>
      </font>
    </dxf>
    <dxf>
      <font>
        <color theme="0" tint="-0.34998626667073579"/>
      </font>
    </dxf>
    <dxf>
      <font>
        <color theme="0"/>
      </font>
      <fill>
        <patternFill>
          <bgColor theme="0"/>
        </patternFill>
      </fill>
    </dxf>
  </dxfs>
  <tableStyles count="0" defaultTableStyle="TableStyleMedium2" defaultPivotStyle="PivotStyleLight16"/>
  <colors>
    <mruColors>
      <color rgb="FFF2E7E7"/>
      <color rgb="FFE4EFE4"/>
      <color rgb="FFF2EFED"/>
      <color rgb="FF3333FF"/>
      <color rgb="FF418541"/>
      <color rgb="FFF15540"/>
      <color rgb="FFFFF8E6"/>
      <color rgb="FF50A450"/>
      <color rgb="FF282828"/>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 Target="richData/rdrichvalue.xml"/><Relationship Id="rId2" Type="http://schemas.openxmlformats.org/officeDocument/2006/relationships/worksheet" Target="worksheets/sheet2.xml"/><Relationship Id="rId16" Type="http://schemas.microsoft.com/office/2022/10/relationships/richValueRel" Target="richData/richValueRel.xml"/><Relationship Id="rId20"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heetMetadata" Target="metadata.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svg"/><Relationship Id="rId1" Type="http://schemas.openxmlformats.org/officeDocument/2006/relationships/image" Target="../media/image2.png"/><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image" Target="../media/image5.svg"/></Relationships>
</file>

<file path=xl/drawings/_rels/drawing2.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xdr:from>
      <xdr:col>2</xdr:col>
      <xdr:colOff>314325</xdr:colOff>
      <xdr:row>25</xdr:row>
      <xdr:rowOff>35700</xdr:rowOff>
    </xdr:from>
    <xdr:to>
      <xdr:col>3</xdr:col>
      <xdr:colOff>223425</xdr:colOff>
      <xdr:row>28</xdr:row>
      <xdr:rowOff>2250</xdr:rowOff>
    </xdr:to>
    <xdr:grpSp>
      <xdr:nvGrpSpPr>
        <xdr:cNvPr id="2" name="Gruppe 1">
          <a:extLst>
            <a:ext uri="{FF2B5EF4-FFF2-40B4-BE49-F238E27FC236}">
              <a16:creationId xmlns:a16="http://schemas.microsoft.com/office/drawing/2014/main" id="{2CA45725-979A-41F8-9BBB-EDA774F98DA3}"/>
            </a:ext>
          </a:extLst>
        </xdr:cNvPr>
        <xdr:cNvGrpSpPr/>
      </xdr:nvGrpSpPr>
      <xdr:grpSpPr>
        <a:xfrm>
          <a:off x="695325" y="6969900"/>
          <a:ext cx="290100" cy="995250"/>
          <a:chOff x="771525" y="4169550"/>
          <a:chExt cx="290100" cy="938100"/>
        </a:xfrm>
      </xdr:grpSpPr>
      <xdr:grpSp>
        <xdr:nvGrpSpPr>
          <xdr:cNvPr id="3" name="Gruppe 2">
            <a:extLst>
              <a:ext uri="{FF2B5EF4-FFF2-40B4-BE49-F238E27FC236}">
                <a16:creationId xmlns:a16="http://schemas.microsoft.com/office/drawing/2014/main" id="{A282C288-0B52-F27C-9FBA-D4DAB4CC141A}"/>
              </a:ext>
            </a:extLst>
          </xdr:cNvPr>
          <xdr:cNvGrpSpPr/>
        </xdr:nvGrpSpPr>
        <xdr:grpSpPr>
          <a:xfrm>
            <a:off x="771525" y="4505325"/>
            <a:ext cx="290100" cy="602325"/>
            <a:chOff x="771525" y="4505325"/>
            <a:chExt cx="290100" cy="602325"/>
          </a:xfrm>
        </xdr:grpSpPr>
        <xdr:pic>
          <xdr:nvPicPr>
            <xdr:cNvPr id="5" name="Grafikk 4" descr="E-post med heldekkende fyll">
              <a:extLst>
                <a:ext uri="{FF2B5EF4-FFF2-40B4-BE49-F238E27FC236}">
                  <a16:creationId xmlns:a16="http://schemas.microsoft.com/office/drawing/2014/main" id="{3E94BE0F-4E45-74C4-FB22-53C1A5247610}"/>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09625" y="4505325"/>
              <a:ext cx="252000" cy="252000"/>
            </a:xfrm>
            <a:prstGeom prst="rect">
              <a:avLst/>
            </a:prstGeom>
          </xdr:spPr>
        </xdr:pic>
        <xdr:pic>
          <xdr:nvPicPr>
            <xdr:cNvPr id="6" name="Grafikk 5" descr="Kundeservice med heldekkende fyll">
              <a:extLst>
                <a:ext uri="{FF2B5EF4-FFF2-40B4-BE49-F238E27FC236}">
                  <a16:creationId xmlns:a16="http://schemas.microsoft.com/office/drawing/2014/main" id="{11BB7201-6665-1F39-9699-52F9A5CDC8C2}"/>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771525" y="4819650"/>
              <a:ext cx="288000" cy="288000"/>
            </a:xfrm>
            <a:prstGeom prst="rect">
              <a:avLst/>
            </a:prstGeom>
          </xdr:spPr>
        </xdr:pic>
      </xdr:grpSp>
      <xdr:pic>
        <xdr:nvPicPr>
          <xdr:cNvPr id="4" name="Grafikk 3" descr="Verden med heldekkende fyll">
            <a:extLst>
              <a:ext uri="{FF2B5EF4-FFF2-40B4-BE49-F238E27FC236}">
                <a16:creationId xmlns:a16="http://schemas.microsoft.com/office/drawing/2014/main" id="{A37F376B-E2BE-DEB8-FE26-D2B00014C762}"/>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807225" y="4169550"/>
            <a:ext cx="252000" cy="25200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19051</xdr:colOff>
      <xdr:row>13</xdr:row>
      <xdr:rowOff>0</xdr:rowOff>
    </xdr:from>
    <xdr:to>
      <xdr:col>5</xdr:col>
      <xdr:colOff>19051</xdr:colOff>
      <xdr:row>42</xdr:row>
      <xdr:rowOff>0</xdr:rowOff>
    </xdr:to>
    <xdr:pic>
      <xdr:nvPicPr>
        <xdr:cNvPr id="3" name="Bilde 2">
          <a:extLst>
            <a:ext uri="{FF2B5EF4-FFF2-40B4-BE49-F238E27FC236}">
              <a16:creationId xmlns:a16="http://schemas.microsoft.com/office/drawing/2014/main" id="{9BBB2AD3-DDCD-418E-9167-C9CC540BDEA9}"/>
            </a:ext>
          </a:extLst>
        </xdr:cNvPr>
        <xdr:cNvPicPr>
          <a:picLocks noChangeAspect="1"/>
        </xdr:cNvPicPr>
      </xdr:nvPicPr>
      <xdr:blipFill>
        <a:blip xmlns:r="http://schemas.openxmlformats.org/officeDocument/2006/relationships" r:embed="rId1"/>
        <a:stretch>
          <a:fillRect/>
        </a:stretch>
      </xdr:blipFill>
      <xdr:spPr>
        <a:xfrm>
          <a:off x="3248026" y="3295650"/>
          <a:ext cx="0" cy="15824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imdi.sharepoint.com/sites/funkhemteamet_Fag/Delte%20dokumenter/General/Rutiner/Kostnadsberegning/INTERNT%20(for%20team)_Hjelpeverkt&#248;y%20-%20kostnadsberegning%20(version%203).xlsx" TargetMode="External"/><Relationship Id="rId1" Type="http://schemas.openxmlformats.org/officeDocument/2006/relationships/externalLinkPath" Target="INTERNT%20(for%20team)_Hjelpeverkt&#248;y%20-%20kostnadsberegning%20(version%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Veileder og eksempler"/>
      <sheetName val="Begrepsliste"/>
      <sheetName val="Totalsum"/>
      <sheetName val="Veileder og eksempler-KOPI"/>
      <sheetName val="1 Lønn"/>
      <sheetName val="2 Lønn med undervisningstid"/>
      <sheetName val="3 Godtgjørelser"/>
      <sheetName val="4 Egenandel"/>
      <sheetName val="5 Fakturabaserte kostnader"/>
      <sheetName val="6 Ansvarsgruppemøter"/>
      <sheetName val="Innstilling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upport.imdinett.no/"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https://www.ks.no/fagomrader/barn-og-unge/barnevern/veiledende-satser-for-fosterhjem-og-besokshjem-2025/" TargetMode="External"/><Relationship Id="rId3" Type="http://schemas.openxmlformats.org/officeDocument/2006/relationships/hyperlink" Target="https://www.regjeringen.no/no/dokumenter/satser-for-kommunal-egenbetaling-for-statlige-barnevernstiltak-2023/id2953174/" TargetMode="External"/><Relationship Id="rId7" Type="http://schemas.openxmlformats.org/officeDocument/2006/relationships/hyperlink" Target="https://www.regjeringen.no/no/dokumenter/satser-for-kommunal-egenbetaling-for-statlige-barnevernstiltak-2025/id3080096/" TargetMode="External"/><Relationship Id="rId2" Type="http://schemas.openxmlformats.org/officeDocument/2006/relationships/hyperlink" Target="https://www.regjeringen.no/no/dokumenter/satser-for-kommunal-egenbetaling-for-statlige-barnevernstiltak-2024/id3020128/" TargetMode="External"/><Relationship Id="rId1" Type="http://schemas.openxmlformats.org/officeDocument/2006/relationships/hyperlink" Target="https://www.regjeringen.no/no/dokumenter/satser-for-kommunal-egenbetaling-for-barnevernstiltak-2022/id2902438/" TargetMode="External"/><Relationship Id="rId6" Type="http://schemas.openxmlformats.org/officeDocument/2006/relationships/hyperlink" Target="https://www.ks.no/arkiv/veiledende-satser-for-fosterhjem-og-besokshjem-2022/" TargetMode="External"/><Relationship Id="rId5" Type="http://schemas.openxmlformats.org/officeDocument/2006/relationships/hyperlink" Target="https://www.ks.no/arkiv/veiledende-satser-for-fosterhjem-og-besokshjem-2023/" TargetMode="External"/><Relationship Id="rId4" Type="http://schemas.openxmlformats.org/officeDocument/2006/relationships/hyperlink" Target="https://www.ks.no/fagomrader/barn-og-unge/barnevern/veiledende-satser-for-fosterhjem-og-besokshjem-2024/"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skatteetaten.no/satser/arbeidsgiveravgift-soneinndeling/"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fagforbundet.no/lonn-og-avtaler/ks/lonnskalkulator/" TargetMode="External"/><Relationship Id="rId3" Type="http://schemas.openxmlformats.org/officeDocument/2006/relationships/hyperlink" Target="https://www.skatteetaten.no/satser/arbeidsgiveravgift-soneinndeling/" TargetMode="External"/><Relationship Id="rId7" Type="http://schemas.openxmlformats.org/officeDocument/2006/relationships/hyperlink" Target="https://www.skatteetaten.no/satser/arbeidsgiveravgift-soneinndeling/" TargetMode="External"/><Relationship Id="rId2" Type="http://schemas.openxmlformats.org/officeDocument/2006/relationships/hyperlink" Target="https://www.fagforbundet.no/lonn-og-avtaler/ks/lonnskalkulator/" TargetMode="External"/><Relationship Id="rId1" Type="http://schemas.openxmlformats.org/officeDocument/2006/relationships/hyperlink" Target="https://www.skatteetaten.no/satser/arbeidsgiveravgift-soneinndeling/" TargetMode="External"/><Relationship Id="rId6" Type="http://schemas.openxmlformats.org/officeDocument/2006/relationships/hyperlink" Target="https://www.fagforbundet.no/lonn-og-avtaler/ks/lonnskalkulator/" TargetMode="External"/><Relationship Id="rId11" Type="http://schemas.openxmlformats.org/officeDocument/2006/relationships/printerSettings" Target="../printerSettings/printerSettings4.bin"/><Relationship Id="rId5" Type="http://schemas.openxmlformats.org/officeDocument/2006/relationships/hyperlink" Target="https://www.skatteetaten.no/satser/arbeidsgiveravgift-soneinndeling/" TargetMode="External"/><Relationship Id="rId10" Type="http://schemas.openxmlformats.org/officeDocument/2006/relationships/hyperlink" Target="https://www.fagforbundet.no/lonn-og-avtaler/ks/lonnskalkulator/" TargetMode="External"/><Relationship Id="rId4" Type="http://schemas.openxmlformats.org/officeDocument/2006/relationships/hyperlink" Target="https://www.fagforbundet.no/lonn-og-avtaler/ks/lonnskalkulator/" TargetMode="External"/><Relationship Id="rId9" Type="http://schemas.openxmlformats.org/officeDocument/2006/relationships/hyperlink" Target="https://www.skatteetaten.no/satser/arbeidsgiveravgift-soneinndeling/"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ks.no/globalassets/fagomrader/lonn-og-tariff/Vedlegg-1-til-SFS-2213-justert-pr-010821.pdf" TargetMode="External"/><Relationship Id="rId3" Type="http://schemas.openxmlformats.org/officeDocument/2006/relationships/hyperlink" Target="https://www.skatteetaten.no/satser/arbeidsgiveravgift-soneinndeling/" TargetMode="External"/><Relationship Id="rId7" Type="http://schemas.openxmlformats.org/officeDocument/2006/relationships/hyperlink" Target="https://www.skatteetaten.no/satser/arbeidsgiveravgift-soneinndeling/" TargetMode="External"/><Relationship Id="rId2" Type="http://schemas.openxmlformats.org/officeDocument/2006/relationships/hyperlink" Target="https://www.ks.no/globalassets/fagomrader/lonn-og-tariff/Vedlegg-1-til-SFS-2213-justert-pr-010821.pdf" TargetMode="External"/><Relationship Id="rId1" Type="http://schemas.openxmlformats.org/officeDocument/2006/relationships/hyperlink" Target="https://www.skatteetaten.no/satser/arbeidsgiveravgift-soneinndeling/" TargetMode="External"/><Relationship Id="rId6" Type="http://schemas.openxmlformats.org/officeDocument/2006/relationships/hyperlink" Target="https://www.ks.no/globalassets/fagomrader/lonn-og-tariff/Vedlegg-1-til-SFS-2213-justert-pr-010821.pdf" TargetMode="External"/><Relationship Id="rId11" Type="http://schemas.openxmlformats.org/officeDocument/2006/relationships/printerSettings" Target="../printerSettings/printerSettings5.bin"/><Relationship Id="rId5" Type="http://schemas.openxmlformats.org/officeDocument/2006/relationships/hyperlink" Target="https://www.skatteetaten.no/satser/arbeidsgiveravgift-soneinndeling/" TargetMode="External"/><Relationship Id="rId10" Type="http://schemas.openxmlformats.org/officeDocument/2006/relationships/hyperlink" Target="https://www.ks.no/globalassets/fagomrader/lonn-og-tariff/Vedlegg-1-til-SFS-2213-justert-pr-010821.pdf" TargetMode="External"/><Relationship Id="rId4" Type="http://schemas.openxmlformats.org/officeDocument/2006/relationships/hyperlink" Target="https://www.ks.no/globalassets/fagomrader/lonn-og-tariff/Vedlegg-1-til-SFS-2213-justert-pr-010821.pdf" TargetMode="External"/><Relationship Id="rId9" Type="http://schemas.openxmlformats.org/officeDocument/2006/relationships/hyperlink" Target="https://www.skatteetaten.no/satser/arbeidsgiveravgift-soneinndeling/"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skatteetaten.no/satser/arbeidsgiveravgift-soneinndeling/" TargetMode="External"/><Relationship Id="rId1" Type="http://schemas.openxmlformats.org/officeDocument/2006/relationships/hyperlink" Target="https://www.ks.no/contentassets/271b392fd8734a7fae65416764ef7366/SGS-1030-Avlastere-fritids-og-stottekontakter-28012025.pdf"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84C19-7D44-4BF5-9753-FD28FB477BF3}">
  <sheetPr>
    <tabColor theme="0" tint="-0.499984740745262"/>
    <pageSetUpPr autoPageBreaks="0" fitToPage="1"/>
  </sheetPr>
  <dimension ref="A1:S60"/>
  <sheetViews>
    <sheetView zoomScaleNormal="100" workbookViewId="0">
      <selection activeCell="H43" sqref="H43"/>
    </sheetView>
  </sheetViews>
  <sheetFormatPr baseColWidth="10" defaultColWidth="0" defaultRowHeight="0" customHeight="1" zeroHeight="1" x14ac:dyDescent="0.25"/>
  <cols>
    <col min="1" max="1" width="1.42578125" customWidth="1"/>
    <col min="2" max="2" width="4.28515625" customWidth="1"/>
    <col min="3" max="3" width="5.7109375" customWidth="1"/>
    <col min="4" max="4" width="10.140625" customWidth="1"/>
    <col min="5" max="5" width="74" customWidth="1"/>
    <col min="6" max="6" width="1.7109375" customWidth="1"/>
    <col min="7" max="7" width="3.5703125" customWidth="1"/>
    <col min="8" max="8" width="20.28515625" style="19" customWidth="1"/>
    <col min="9" max="9" width="3.5703125" style="19" customWidth="1"/>
    <col min="10" max="10" width="5.7109375" customWidth="1"/>
    <col min="11" max="11" width="4.28515625" customWidth="1"/>
    <col min="12" max="12" width="1.42578125" customWidth="1"/>
    <col min="13" max="19" width="0" hidden="1" customWidth="1"/>
    <col min="20" max="16384" width="11.42578125" hidden="1"/>
  </cols>
  <sheetData>
    <row r="1" spans="1:12" ht="39" x14ac:dyDescent="0.25">
      <c r="A1" s="5"/>
      <c r="B1" s="5"/>
      <c r="C1" s="33" t="s">
        <v>278</v>
      </c>
      <c r="D1" s="33"/>
      <c r="E1" s="8"/>
      <c r="F1" s="8"/>
      <c r="G1" s="8"/>
      <c r="H1" s="92"/>
      <c r="I1" s="92"/>
      <c r="J1" s="29"/>
      <c r="K1" s="5"/>
      <c r="L1" s="5"/>
    </row>
    <row r="2" spans="1:12" ht="15" x14ac:dyDescent="0.25">
      <c r="A2" s="5"/>
      <c r="B2" s="6"/>
      <c r="C2" s="6"/>
      <c r="D2" s="6"/>
      <c r="E2" s="6"/>
      <c r="F2" s="6"/>
      <c r="G2" s="6"/>
      <c r="H2" s="21"/>
      <c r="I2" s="21"/>
      <c r="J2" s="6"/>
      <c r="K2" s="6"/>
      <c r="L2" s="5"/>
    </row>
    <row r="3" spans="1:12" ht="24" x14ac:dyDescent="0.25">
      <c r="A3" s="5"/>
      <c r="B3" s="6"/>
      <c r="C3" s="28" t="s">
        <v>0</v>
      </c>
      <c r="D3" s="28"/>
      <c r="E3" s="26"/>
      <c r="F3" s="26"/>
      <c r="G3" s="26"/>
      <c r="H3" s="93"/>
      <c r="I3" s="93"/>
      <c r="J3" s="25"/>
      <c r="K3" s="6"/>
      <c r="L3" s="5"/>
    </row>
    <row r="4" spans="1:12" ht="15" x14ac:dyDescent="0.25">
      <c r="A4" s="5"/>
      <c r="B4" s="6"/>
      <c r="C4" s="22"/>
      <c r="D4" s="22"/>
      <c r="E4" s="22"/>
      <c r="F4" s="22"/>
      <c r="G4" s="22"/>
      <c r="H4" s="58"/>
      <c r="I4" s="58"/>
      <c r="J4" s="22"/>
      <c r="K4" s="6"/>
      <c r="L4" s="5"/>
    </row>
    <row r="5" spans="1:12" ht="15" x14ac:dyDescent="0.25">
      <c r="A5" s="5"/>
      <c r="B5" s="6"/>
      <c r="C5" s="63"/>
      <c r="D5" s="63"/>
      <c r="E5" s="68"/>
      <c r="F5" s="63"/>
      <c r="G5" s="63"/>
      <c r="H5" s="94"/>
      <c r="I5" s="94"/>
      <c r="J5" s="63"/>
      <c r="K5" s="6"/>
      <c r="L5" s="5"/>
    </row>
    <row r="6" spans="1:12" ht="18" customHeight="1" x14ac:dyDescent="0.25">
      <c r="A6" s="5"/>
      <c r="B6" s="6"/>
      <c r="C6" s="97"/>
      <c r="D6" s="728" t="s">
        <v>1</v>
      </c>
      <c r="E6" s="729"/>
      <c r="F6" s="99"/>
      <c r="G6" s="99"/>
      <c r="H6" s="113"/>
      <c r="I6" s="113"/>
      <c r="J6" s="63"/>
      <c r="K6" s="6"/>
      <c r="L6" s="5"/>
    </row>
    <row r="7" spans="1:12" ht="18" customHeight="1" x14ac:dyDescent="0.25">
      <c r="A7" s="5"/>
      <c r="B7" s="6"/>
      <c r="C7" s="97"/>
      <c r="D7" s="116"/>
      <c r="E7" s="115"/>
      <c r="F7" s="99"/>
      <c r="G7" s="99"/>
      <c r="H7" s="113"/>
      <c r="I7" s="113"/>
      <c r="J7" s="63"/>
      <c r="K7" s="6"/>
      <c r="L7" s="5"/>
    </row>
    <row r="8" spans="1:12" ht="33" customHeight="1" x14ac:dyDescent="0.25">
      <c r="A8" s="5"/>
      <c r="B8" s="6"/>
      <c r="C8" s="97"/>
      <c r="D8" s="726" t="s">
        <v>2</v>
      </c>
      <c r="E8" s="727"/>
      <c r="F8" s="99"/>
      <c r="G8" s="99"/>
      <c r="H8" s="113"/>
      <c r="I8" s="113"/>
      <c r="J8" s="63"/>
      <c r="K8" s="6"/>
      <c r="L8" s="5"/>
    </row>
    <row r="9" spans="1:12" ht="18" customHeight="1" x14ac:dyDescent="0.25">
      <c r="A9" s="5"/>
      <c r="B9" s="6"/>
      <c r="C9" s="97"/>
      <c r="D9" s="116"/>
      <c r="E9" s="115"/>
      <c r="F9" s="99"/>
      <c r="G9" s="99"/>
      <c r="H9" s="113"/>
      <c r="I9" s="113"/>
      <c r="J9" s="63"/>
      <c r="K9" s="6"/>
      <c r="L9" s="5"/>
    </row>
    <row r="10" spans="1:12" ht="18" customHeight="1" x14ac:dyDescent="0.25">
      <c r="A10" s="5"/>
      <c r="B10" s="6"/>
      <c r="C10" s="97"/>
      <c r="D10" s="726" t="s">
        <v>3</v>
      </c>
      <c r="E10" s="727"/>
      <c r="F10" s="99"/>
      <c r="G10" s="99"/>
      <c r="H10" s="98"/>
      <c r="I10" s="113"/>
      <c r="J10" s="63"/>
      <c r="K10" s="6"/>
      <c r="L10" s="5"/>
    </row>
    <row r="11" spans="1:12" ht="18" customHeight="1" x14ac:dyDescent="0.25">
      <c r="A11" s="5"/>
      <c r="B11" s="6"/>
      <c r="C11" s="97"/>
      <c r="D11" s="116"/>
      <c r="E11" s="115"/>
      <c r="F11" s="99"/>
      <c r="G11" s="99"/>
      <c r="H11" s="113"/>
      <c r="I11" s="113"/>
      <c r="J11" s="63"/>
      <c r="K11" s="6"/>
      <c r="L11" s="5"/>
    </row>
    <row r="12" spans="1:12" ht="18" customHeight="1" x14ac:dyDescent="0.25">
      <c r="A12" s="5"/>
      <c r="B12" s="6"/>
      <c r="C12" s="97"/>
      <c r="D12" s="728" t="s">
        <v>4</v>
      </c>
      <c r="E12" s="729"/>
      <c r="F12" s="99"/>
      <c r="G12" s="99"/>
      <c r="H12" s="117" t="s">
        <v>5</v>
      </c>
      <c r="I12" s="113"/>
      <c r="J12" s="63"/>
      <c r="K12" s="6"/>
      <c r="L12" s="5"/>
    </row>
    <row r="13" spans="1:12" ht="18" customHeight="1" x14ac:dyDescent="0.25">
      <c r="A13" s="5"/>
      <c r="B13" s="6"/>
      <c r="C13" s="97"/>
      <c r="D13" s="116"/>
      <c r="E13" s="115"/>
      <c r="F13" s="99"/>
      <c r="G13" s="99"/>
      <c r="H13" s="113"/>
      <c r="I13" s="113"/>
      <c r="J13" s="63"/>
      <c r="K13" s="6"/>
      <c r="L13" s="5"/>
    </row>
    <row r="14" spans="1:12" ht="18" customHeight="1" x14ac:dyDescent="0.25">
      <c r="A14" s="5"/>
      <c r="B14" s="6"/>
      <c r="C14" s="97"/>
      <c r="D14" s="730" t="s">
        <v>6</v>
      </c>
      <c r="E14" s="729"/>
      <c r="F14" s="99"/>
      <c r="G14" s="99"/>
      <c r="H14" s="114">
        <v>100000</v>
      </c>
      <c r="I14" s="113"/>
      <c r="J14" s="63"/>
      <c r="K14" s="6"/>
      <c r="L14" s="5"/>
    </row>
    <row r="15" spans="1:12" ht="18" customHeight="1" x14ac:dyDescent="0.25">
      <c r="A15" s="5"/>
      <c r="B15" s="6"/>
      <c r="C15" s="97"/>
      <c r="D15" s="116"/>
      <c r="E15" s="115"/>
      <c r="F15" s="99"/>
      <c r="G15" s="99"/>
      <c r="H15" s="113"/>
      <c r="I15" s="113"/>
      <c r="J15" s="63"/>
      <c r="K15" s="6"/>
      <c r="L15" s="5"/>
    </row>
    <row r="16" spans="1:12" ht="80.25" customHeight="1" x14ac:dyDescent="0.25">
      <c r="A16" s="5"/>
      <c r="B16" s="6"/>
      <c r="C16" s="97"/>
      <c r="D16" s="734" t="s">
        <v>7</v>
      </c>
      <c r="E16" s="735"/>
      <c r="F16" s="99"/>
      <c r="G16" s="99"/>
      <c r="H16" s="119" t="s">
        <v>8</v>
      </c>
      <c r="I16" s="113"/>
      <c r="J16" s="63"/>
      <c r="K16" s="6"/>
      <c r="L16" s="5"/>
    </row>
    <row r="17" spans="1:12" ht="18" customHeight="1" x14ac:dyDescent="0.25">
      <c r="A17" s="5"/>
      <c r="B17" s="6"/>
      <c r="C17" s="97"/>
      <c r="D17" s="116"/>
      <c r="E17" s="115"/>
      <c r="F17" s="99"/>
      <c r="G17" s="99"/>
      <c r="H17" s="118"/>
      <c r="I17" s="113"/>
      <c r="J17" s="63"/>
      <c r="K17" s="6"/>
      <c r="L17" s="5"/>
    </row>
    <row r="18" spans="1:12" ht="18" customHeight="1" x14ac:dyDescent="0.25">
      <c r="A18" s="5"/>
      <c r="B18" s="6"/>
      <c r="C18" s="97"/>
      <c r="D18" s="731" t="s">
        <v>9</v>
      </c>
      <c r="E18" s="732"/>
      <c r="F18" s="99"/>
      <c r="G18" s="99"/>
      <c r="H18" s="316" t="s">
        <v>10</v>
      </c>
      <c r="I18" s="99"/>
      <c r="J18" s="63"/>
      <c r="K18" s="6"/>
      <c r="L18" s="5"/>
    </row>
    <row r="19" spans="1:12" ht="18" customHeight="1" x14ac:dyDescent="0.25">
      <c r="A19" s="5"/>
      <c r="B19" s="6"/>
      <c r="C19" s="97"/>
      <c r="D19" s="733"/>
      <c r="E19" s="732"/>
      <c r="F19" s="99"/>
      <c r="G19" s="99"/>
      <c r="H19" s="113"/>
      <c r="I19" s="113"/>
      <c r="J19" s="63"/>
      <c r="K19" s="6"/>
      <c r="L19" s="5"/>
    </row>
    <row r="20" spans="1:12" ht="24.75" customHeight="1" x14ac:dyDescent="0.25">
      <c r="A20" s="5"/>
      <c r="B20" s="6"/>
      <c r="C20" s="95"/>
      <c r="D20" s="100"/>
      <c r="E20" s="101"/>
      <c r="F20" s="96"/>
      <c r="G20" s="96"/>
      <c r="H20" s="94"/>
      <c r="I20" s="94"/>
      <c r="J20" s="63"/>
      <c r="K20" s="6"/>
      <c r="L20" s="5"/>
    </row>
    <row r="21" spans="1:12" ht="15" x14ac:dyDescent="0.25">
      <c r="A21" s="5"/>
      <c r="B21" s="6"/>
      <c r="C21" s="6"/>
      <c r="D21" s="6"/>
      <c r="E21" s="6"/>
      <c r="F21" s="6"/>
      <c r="G21" s="6"/>
      <c r="H21" s="21"/>
      <c r="I21" s="21"/>
      <c r="J21" s="6"/>
      <c r="K21" s="6"/>
      <c r="L21" s="5"/>
    </row>
    <row r="22" spans="1:12" ht="24" x14ac:dyDescent="0.25">
      <c r="A22" s="5"/>
      <c r="B22" s="6"/>
      <c r="C22" s="28" t="s">
        <v>11</v>
      </c>
      <c r="D22" s="28"/>
      <c r="E22" s="26"/>
      <c r="F22" s="26"/>
      <c r="G22" s="26"/>
      <c r="H22" s="93"/>
      <c r="I22" s="93"/>
      <c r="J22" s="25"/>
      <c r="K22" s="6"/>
      <c r="L22" s="5"/>
    </row>
    <row r="23" spans="1:12" ht="15" x14ac:dyDescent="0.25">
      <c r="A23" s="5"/>
      <c r="B23" s="6"/>
      <c r="C23" s="22"/>
      <c r="D23" s="22"/>
      <c r="E23" s="22"/>
      <c r="F23" s="22"/>
      <c r="G23" s="22"/>
      <c r="H23" s="58"/>
      <c r="I23" s="58"/>
      <c r="J23" s="22"/>
      <c r="K23" s="6"/>
      <c r="L23" s="5"/>
    </row>
    <row r="24" spans="1:12" ht="15" x14ac:dyDescent="0.25">
      <c r="A24" s="5"/>
      <c r="B24" s="6"/>
      <c r="C24" s="59"/>
      <c r="D24" s="60"/>
      <c r="E24" s="60"/>
      <c r="F24" s="60"/>
      <c r="G24" s="61"/>
      <c r="H24" s="102"/>
      <c r="I24" s="102"/>
      <c r="J24" s="61"/>
      <c r="K24" s="6"/>
      <c r="L24" s="5"/>
    </row>
    <row r="25" spans="1:12" ht="15" x14ac:dyDescent="0.25">
      <c r="A25" s="5"/>
      <c r="B25" s="6"/>
      <c r="C25" s="62"/>
      <c r="D25" s="63"/>
      <c r="E25" s="63"/>
      <c r="F25" s="63"/>
      <c r="G25" s="64"/>
      <c r="H25" s="103"/>
      <c r="I25" s="103"/>
      <c r="J25" s="64"/>
      <c r="K25" s="6"/>
      <c r="L25" s="5"/>
    </row>
    <row r="26" spans="1:12" ht="27" customHeight="1" x14ac:dyDescent="0.25">
      <c r="A26" s="5"/>
      <c r="B26" s="6"/>
      <c r="C26" s="65"/>
      <c r="D26" s="76" t="s">
        <v>12</v>
      </c>
      <c r="E26" s="67"/>
      <c r="F26" s="66"/>
      <c r="G26" s="108"/>
      <c r="H26" s="104"/>
      <c r="I26" s="104"/>
      <c r="J26" s="69"/>
      <c r="K26" s="6"/>
      <c r="L26" s="5"/>
    </row>
    <row r="27" spans="1:12" ht="27" customHeight="1" x14ac:dyDescent="0.25">
      <c r="A27" s="5"/>
      <c r="B27" s="6"/>
      <c r="C27" s="70"/>
      <c r="D27" s="77" t="s">
        <v>13</v>
      </c>
      <c r="E27" s="67"/>
      <c r="F27" s="67"/>
      <c r="G27" s="69"/>
      <c r="H27" s="104"/>
      <c r="I27" s="104"/>
      <c r="J27" s="71"/>
      <c r="K27" s="6"/>
      <c r="L27" s="5"/>
    </row>
    <row r="28" spans="1:12" ht="27" customHeight="1" x14ac:dyDescent="0.25">
      <c r="A28" s="5"/>
      <c r="B28" s="6"/>
      <c r="C28" s="72"/>
      <c r="D28" s="77" t="s">
        <v>14</v>
      </c>
      <c r="E28" s="67"/>
      <c r="F28" s="67"/>
      <c r="G28" s="69"/>
      <c r="H28" s="104"/>
      <c r="I28" s="104"/>
      <c r="J28" s="69"/>
      <c r="K28" s="6"/>
      <c r="L28" s="5"/>
    </row>
    <row r="29" spans="1:12" ht="15" x14ac:dyDescent="0.25">
      <c r="A29" s="5"/>
      <c r="B29" s="6"/>
      <c r="C29" s="62"/>
      <c r="D29" s="63"/>
      <c r="E29" s="63"/>
      <c r="F29" s="63"/>
      <c r="G29" s="64"/>
      <c r="H29" s="103"/>
      <c r="I29" s="103"/>
      <c r="J29" s="64"/>
      <c r="K29" s="6"/>
      <c r="L29" s="5"/>
    </row>
    <row r="30" spans="1:12" ht="15" x14ac:dyDescent="0.25">
      <c r="A30" s="5"/>
      <c r="B30" s="6"/>
      <c r="C30" s="73"/>
      <c r="D30" s="74"/>
      <c r="E30" s="74"/>
      <c r="F30" s="74"/>
      <c r="G30" s="75"/>
      <c r="H30" s="105"/>
      <c r="I30" s="105"/>
      <c r="J30" s="75"/>
      <c r="K30" s="6"/>
      <c r="L30" s="5"/>
    </row>
    <row r="31" spans="1:12" ht="15" x14ac:dyDescent="0.25">
      <c r="A31" s="5"/>
      <c r="B31" s="6"/>
      <c r="C31" s="22"/>
      <c r="D31" s="22"/>
      <c r="E31" s="22"/>
      <c r="F31" s="22"/>
      <c r="G31" s="22"/>
      <c r="H31" s="58"/>
      <c r="I31" s="58"/>
      <c r="J31" s="22"/>
      <c r="K31" s="22"/>
      <c r="L31" s="5"/>
    </row>
    <row r="32" spans="1:12" ht="31.5" customHeight="1" x14ac:dyDescent="0.25">
      <c r="A32" s="5"/>
      <c r="B32" s="6"/>
      <c r="C32" s="22"/>
      <c r="D32" s="22"/>
      <c r="E32" s="22"/>
      <c r="F32" s="22"/>
      <c r="G32" s="22"/>
      <c r="H32" s="725" t="e" vm="1">
        <v>#VALUE!</v>
      </c>
      <c r="I32" s="725"/>
      <c r="J32" s="106"/>
      <c r="K32" s="22"/>
      <c r="L32" s="5"/>
    </row>
    <row r="33" spans="1:12" ht="15" x14ac:dyDescent="0.25">
      <c r="A33" s="5"/>
      <c r="B33" s="6"/>
      <c r="C33" s="22"/>
      <c r="D33" s="22"/>
      <c r="E33" s="22"/>
      <c r="F33" s="22"/>
      <c r="G33" s="22"/>
      <c r="H33" s="58"/>
      <c r="I33" s="58"/>
      <c r="J33" s="58"/>
      <c r="K33" s="6"/>
      <c r="L33" s="5"/>
    </row>
    <row r="34" spans="1:12" ht="15" x14ac:dyDescent="0.25">
      <c r="A34" s="5"/>
      <c r="B34" s="5"/>
      <c r="C34" s="5"/>
      <c r="D34" s="5"/>
      <c r="E34" s="5"/>
      <c r="F34" s="5"/>
      <c r="G34" s="5"/>
      <c r="H34" s="53"/>
      <c r="I34" s="53"/>
      <c r="J34" s="5"/>
      <c r="K34" s="5"/>
      <c r="L34" s="5"/>
    </row>
    <row r="35" spans="1:12" ht="15" x14ac:dyDescent="0.25">
      <c r="A35" s="5"/>
      <c r="B35" s="5"/>
      <c r="C35" s="5"/>
      <c r="D35" s="5"/>
      <c r="E35" s="5"/>
      <c r="F35" s="5"/>
      <c r="G35" s="5"/>
      <c r="H35" s="53"/>
      <c r="I35" s="53"/>
      <c r="J35" s="5"/>
      <c r="K35" s="5"/>
      <c r="L35" s="5"/>
    </row>
    <row r="36" spans="1:12" ht="34.5" x14ac:dyDescent="0.25">
      <c r="A36" s="5"/>
      <c r="B36" s="5"/>
      <c r="C36" s="8" t="s">
        <v>15</v>
      </c>
      <c r="D36" s="8"/>
      <c r="E36" s="8"/>
      <c r="F36" s="34"/>
      <c r="G36" s="34"/>
      <c r="H36" s="107"/>
      <c r="I36" s="107"/>
      <c r="J36" s="29"/>
      <c r="K36" s="5"/>
      <c r="L36" s="5"/>
    </row>
    <row r="37" spans="1:12" ht="15" x14ac:dyDescent="0.25">
      <c r="A37" s="5"/>
      <c r="B37" s="6"/>
      <c r="C37" s="6"/>
      <c r="D37" s="6"/>
      <c r="E37" s="6"/>
      <c r="F37" s="6"/>
      <c r="G37" s="6"/>
      <c r="H37" s="21"/>
      <c r="I37" s="21"/>
      <c r="J37" s="6"/>
      <c r="K37" s="6"/>
      <c r="L37" s="5"/>
    </row>
    <row r="38" spans="1:12" ht="15" x14ac:dyDescent="0.25">
      <c r="A38" s="5"/>
      <c r="B38" s="6"/>
      <c r="C38" s="1">
        <v>45929</v>
      </c>
      <c r="D38" s="1"/>
      <c r="E38" s="6" t="s">
        <v>292</v>
      </c>
      <c r="F38" s="6"/>
      <c r="G38" s="6"/>
      <c r="H38" s="21"/>
      <c r="I38" s="21"/>
      <c r="J38" s="6"/>
      <c r="K38" s="6"/>
      <c r="L38" s="5"/>
    </row>
    <row r="39" spans="1:12" ht="15" x14ac:dyDescent="0.25">
      <c r="A39" s="5"/>
      <c r="B39" s="6"/>
      <c r="C39" s="2"/>
      <c r="D39" s="2"/>
      <c r="E39" s="724" t="s">
        <v>301</v>
      </c>
      <c r="F39" s="6"/>
      <c r="G39" s="6"/>
      <c r="H39" s="21"/>
      <c r="I39" s="21"/>
      <c r="J39" s="6"/>
      <c r="K39" s="6"/>
      <c r="L39" s="5"/>
    </row>
    <row r="40" spans="1:12" ht="15" x14ac:dyDescent="0.25">
      <c r="A40" s="5"/>
      <c r="B40" s="6"/>
      <c r="C40" s="2"/>
      <c r="D40" s="2"/>
      <c r="E40" s="724" t="s">
        <v>302</v>
      </c>
      <c r="F40" s="6"/>
      <c r="G40" s="6"/>
      <c r="H40" s="21"/>
      <c r="I40" s="21"/>
      <c r="J40" s="6"/>
      <c r="K40" s="6"/>
      <c r="L40" s="5"/>
    </row>
    <row r="41" spans="1:12" ht="15" x14ac:dyDescent="0.25">
      <c r="A41" s="5"/>
      <c r="B41" s="6"/>
      <c r="C41" s="1">
        <v>45922</v>
      </c>
      <c r="D41" s="1"/>
      <c r="E41" s="6" t="s">
        <v>293</v>
      </c>
      <c r="F41" s="6"/>
      <c r="G41" s="6"/>
      <c r="H41" s="21"/>
      <c r="I41" s="21"/>
      <c r="J41" s="6"/>
      <c r="K41" s="6"/>
      <c r="L41" s="5"/>
    </row>
    <row r="42" spans="1:12" ht="15" x14ac:dyDescent="0.25">
      <c r="A42" s="5"/>
      <c r="B42" s="6"/>
      <c r="C42" s="2"/>
      <c r="D42" s="2"/>
      <c r="E42" s="724" t="s">
        <v>294</v>
      </c>
      <c r="F42" s="6"/>
      <c r="G42" s="6"/>
      <c r="H42" s="21"/>
      <c r="I42" s="21"/>
      <c r="J42" s="6"/>
      <c r="K42" s="6"/>
      <c r="L42" s="5"/>
    </row>
    <row r="43" spans="1:12" ht="15" x14ac:dyDescent="0.25">
      <c r="A43" s="5"/>
      <c r="B43" s="6"/>
      <c r="C43" s="2"/>
      <c r="D43" s="2"/>
      <c r="E43" s="724" t="s">
        <v>295</v>
      </c>
      <c r="F43" s="6"/>
      <c r="G43" s="6"/>
      <c r="H43" s="21"/>
      <c r="I43" s="21"/>
      <c r="J43" s="6"/>
      <c r="K43" s="6"/>
      <c r="L43" s="5"/>
    </row>
    <row r="44" spans="1:12" ht="15" x14ac:dyDescent="0.25">
      <c r="A44" s="5"/>
      <c r="B44" s="6"/>
      <c r="C44" s="2"/>
      <c r="D44" s="2"/>
      <c r="E44" s="724" t="s">
        <v>296</v>
      </c>
      <c r="F44" s="6"/>
      <c r="G44" s="6"/>
      <c r="H44" s="21"/>
      <c r="I44" s="21"/>
      <c r="J44" s="6"/>
      <c r="K44" s="6"/>
      <c r="L44" s="5"/>
    </row>
    <row r="45" spans="1:12" ht="15" x14ac:dyDescent="0.25">
      <c r="A45" s="5"/>
      <c r="B45" s="6"/>
      <c r="C45" s="2"/>
      <c r="D45" s="2"/>
      <c r="E45" s="724" t="s">
        <v>308</v>
      </c>
      <c r="F45" s="6"/>
      <c r="G45" s="6"/>
      <c r="H45" s="21"/>
      <c r="I45" s="21"/>
      <c r="J45" s="6"/>
      <c r="K45" s="6"/>
      <c r="L45" s="5"/>
    </row>
    <row r="46" spans="1:12" ht="15" x14ac:dyDescent="0.25">
      <c r="A46" s="5"/>
      <c r="B46" s="6"/>
      <c r="C46" s="2"/>
      <c r="D46" s="2"/>
      <c r="E46" s="724" t="s">
        <v>309</v>
      </c>
      <c r="F46" s="6"/>
      <c r="G46" s="6"/>
      <c r="H46" s="21"/>
      <c r="I46" s="21"/>
      <c r="J46" s="6"/>
      <c r="K46" s="6"/>
      <c r="L46" s="5"/>
    </row>
    <row r="47" spans="1:12" ht="15" x14ac:dyDescent="0.25">
      <c r="A47" s="5"/>
      <c r="B47" s="6"/>
      <c r="C47" s="2"/>
      <c r="D47" s="2"/>
      <c r="E47" s="724" t="s">
        <v>297</v>
      </c>
      <c r="F47" s="6"/>
      <c r="G47" s="6"/>
      <c r="H47" s="21"/>
      <c r="I47" s="21"/>
      <c r="J47" s="6"/>
      <c r="K47" s="6"/>
      <c r="L47" s="5"/>
    </row>
    <row r="48" spans="1:12" ht="15" x14ac:dyDescent="0.25">
      <c r="A48" s="5"/>
      <c r="B48" s="6"/>
      <c r="C48" s="2"/>
      <c r="D48" s="2"/>
      <c r="E48" s="724" t="s">
        <v>298</v>
      </c>
      <c r="F48" s="6"/>
      <c r="G48" s="6"/>
      <c r="H48" s="21"/>
      <c r="I48" s="21"/>
      <c r="J48" s="6"/>
      <c r="K48" s="6"/>
      <c r="L48" s="5"/>
    </row>
    <row r="49" spans="1:12" ht="15" x14ac:dyDescent="0.25">
      <c r="A49" s="5"/>
      <c r="B49" s="6"/>
      <c r="C49" s="1"/>
      <c r="D49" s="1"/>
      <c r="E49" s="724" t="s">
        <v>299</v>
      </c>
      <c r="F49" s="6"/>
      <c r="G49" s="6"/>
      <c r="H49" s="21"/>
      <c r="I49" s="21"/>
      <c r="J49" s="6"/>
      <c r="K49" s="6"/>
      <c r="L49" s="5"/>
    </row>
    <row r="50" spans="1:12" ht="15" x14ac:dyDescent="0.25">
      <c r="A50" s="5"/>
      <c r="B50" s="6"/>
      <c r="C50" s="2"/>
      <c r="D50" s="2"/>
      <c r="E50" s="724" t="s">
        <v>300</v>
      </c>
      <c r="F50" s="6"/>
      <c r="G50" s="6"/>
      <c r="H50" s="21"/>
      <c r="I50" s="21"/>
      <c r="J50" s="6"/>
      <c r="K50" s="6"/>
      <c r="L50" s="5"/>
    </row>
    <row r="51" spans="1:12" ht="15" x14ac:dyDescent="0.25">
      <c r="A51" s="5"/>
      <c r="B51" s="6"/>
      <c r="C51" s="1">
        <v>45838</v>
      </c>
      <c r="D51" s="1"/>
      <c r="E51" s="6" t="s">
        <v>305</v>
      </c>
      <c r="F51" s="6"/>
      <c r="G51" s="6"/>
      <c r="H51" s="21"/>
      <c r="I51" s="21"/>
      <c r="J51" s="6"/>
      <c r="K51" s="6"/>
      <c r="L51" s="5"/>
    </row>
    <row r="52" spans="1:12" ht="15" x14ac:dyDescent="0.25">
      <c r="A52" s="5"/>
      <c r="B52" s="6"/>
      <c r="C52" s="2"/>
      <c r="D52" s="2"/>
      <c r="E52" s="724" t="s">
        <v>310</v>
      </c>
      <c r="F52" s="6"/>
      <c r="G52" s="6"/>
      <c r="H52" s="21"/>
      <c r="I52" s="21"/>
      <c r="J52" s="6"/>
      <c r="K52" s="6"/>
      <c r="L52" s="5"/>
    </row>
    <row r="53" spans="1:12" ht="15" x14ac:dyDescent="0.25">
      <c r="A53" s="5"/>
      <c r="B53" s="6"/>
      <c r="C53" s="2"/>
      <c r="D53" s="2"/>
      <c r="E53" s="724" t="s">
        <v>311</v>
      </c>
      <c r="F53" s="6"/>
      <c r="G53" s="6"/>
      <c r="H53" s="21"/>
      <c r="I53" s="21"/>
      <c r="J53" s="6"/>
      <c r="K53" s="6"/>
      <c r="L53" s="5"/>
    </row>
    <row r="54" spans="1:12" ht="15" x14ac:dyDescent="0.25">
      <c r="A54" s="5"/>
      <c r="B54" s="6"/>
      <c r="C54" s="2"/>
      <c r="D54" s="2"/>
      <c r="E54" s="724" t="s">
        <v>303</v>
      </c>
      <c r="F54" s="6"/>
      <c r="G54" s="6"/>
      <c r="H54" s="21"/>
      <c r="I54" s="21"/>
      <c r="J54" s="6"/>
      <c r="K54" s="6"/>
      <c r="L54" s="5"/>
    </row>
    <row r="55" spans="1:12" ht="15" x14ac:dyDescent="0.25">
      <c r="A55" s="5"/>
      <c r="B55" s="6"/>
      <c r="C55" s="1"/>
      <c r="D55" s="1"/>
      <c r="E55" s="724" t="s">
        <v>304</v>
      </c>
      <c r="F55" s="6"/>
      <c r="G55" s="6"/>
      <c r="H55" s="21"/>
      <c r="I55" s="21"/>
      <c r="J55" s="6"/>
      <c r="K55" s="6"/>
      <c r="L55" s="5"/>
    </row>
    <row r="56" spans="1:12" ht="15" x14ac:dyDescent="0.25">
      <c r="A56" s="5"/>
      <c r="B56" s="6"/>
      <c r="C56" s="1">
        <v>45572</v>
      </c>
      <c r="D56" s="1"/>
      <c r="E56" s="30" t="s">
        <v>306</v>
      </c>
      <c r="F56" s="30"/>
      <c r="G56" s="30"/>
      <c r="H56" s="21"/>
      <c r="I56" s="21"/>
      <c r="J56" s="6"/>
      <c r="K56" s="6"/>
      <c r="L56" s="5"/>
    </row>
    <row r="57" spans="1:12" ht="15" x14ac:dyDescent="0.25">
      <c r="A57" s="5"/>
      <c r="B57" s="6"/>
      <c r="C57" s="1"/>
      <c r="D57" s="1"/>
      <c r="E57" s="724" t="s">
        <v>307</v>
      </c>
      <c r="F57" s="30"/>
      <c r="G57" s="30"/>
      <c r="H57" s="21"/>
      <c r="I57" s="21"/>
      <c r="J57" s="6"/>
      <c r="K57" s="6"/>
      <c r="L57" s="5"/>
    </row>
    <row r="58" spans="1:12" ht="15" x14ac:dyDescent="0.25">
      <c r="A58" s="5"/>
      <c r="B58" s="6"/>
      <c r="C58" s="6"/>
      <c r="D58" s="6"/>
      <c r="E58" s="6"/>
      <c r="F58" s="6"/>
      <c r="G58" s="6"/>
      <c r="H58" s="21"/>
      <c r="I58" s="21"/>
      <c r="J58" s="6"/>
      <c r="K58" s="6"/>
      <c r="L58" s="5"/>
    </row>
    <row r="59" spans="1:12" ht="15" x14ac:dyDescent="0.25">
      <c r="A59" s="5"/>
      <c r="B59" s="6"/>
      <c r="C59" s="6"/>
      <c r="D59" s="6"/>
      <c r="E59" s="6"/>
      <c r="F59" s="6"/>
      <c r="G59" s="6"/>
      <c r="H59" s="21"/>
      <c r="I59" s="21"/>
      <c r="J59" s="6"/>
      <c r="K59" s="6"/>
      <c r="L59" s="5"/>
    </row>
    <row r="60" spans="1:12" ht="15" x14ac:dyDescent="0.25">
      <c r="A60" s="5"/>
      <c r="B60" s="5"/>
      <c r="C60" s="5"/>
      <c r="D60" s="5"/>
      <c r="E60" s="5"/>
      <c r="F60" s="5"/>
      <c r="G60" s="5"/>
      <c r="H60" s="53"/>
      <c r="I60" s="53"/>
      <c r="J60" s="5"/>
      <c r="K60" s="5"/>
      <c r="L60" s="5"/>
    </row>
  </sheetData>
  <sheetProtection algorithmName="SHA-512" hashValue="eUO1mecc0zJ2jf5a++5g1DLvZiifp0YFPTTnoE8yqqOzkMJOEwnChGIN6aqXQ8Pg5hkjxu+KYw+dHK9B+FDqEw==" saltValue="9GNIAKZovRGPKOcQWSAz+w==" spinCount="100000" sheet="1" selectLockedCells="1" selectUnlockedCells="1"/>
  <mergeCells count="15">
    <mergeCell ref="D6:E6"/>
    <mergeCell ref="D10:E10"/>
    <mergeCell ref="D12:E12"/>
    <mergeCell ref="D14:E14"/>
    <mergeCell ref="D18:E19"/>
    <mergeCell ref="D16:E16"/>
    <mergeCell ref="C56:D56"/>
    <mergeCell ref="C57:D57"/>
    <mergeCell ref="H32:I32"/>
    <mergeCell ref="D8:E8"/>
    <mergeCell ref="C55:D55"/>
    <mergeCell ref="C38:D38"/>
    <mergeCell ref="C49:D49"/>
    <mergeCell ref="C41:D41"/>
    <mergeCell ref="C51:D51"/>
  </mergeCells>
  <hyperlinks>
    <hyperlink ref="D26" r:id="rId1" xr:uid="{959296F3-6487-4762-923F-B4B3F7AA973C}"/>
  </hyperlinks>
  <pageMargins left="0.7" right="0.7" top="0.75" bottom="0.75" header="0.3" footer="0.3"/>
  <pageSetup paperSize="9" scale="64" fitToHeight="0" orientation="portrait" verticalDpi="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1F986-229D-41D8-A6A6-D16540DAA00B}">
  <sheetPr codeName="Ark8">
    <tabColor rgb="FFF15540"/>
    <pageSetUpPr autoPageBreaks="0"/>
  </sheetPr>
  <dimension ref="A1:P79"/>
  <sheetViews>
    <sheetView zoomScaleNormal="100" workbookViewId="0">
      <selection activeCell="H19" sqref="H19"/>
    </sheetView>
  </sheetViews>
  <sheetFormatPr baseColWidth="10" defaultColWidth="0" defaultRowHeight="15" zeroHeight="1" x14ac:dyDescent="0.25"/>
  <cols>
    <col min="1" max="1" width="4.28515625" customWidth="1"/>
    <col min="2" max="2" width="19.5703125" customWidth="1"/>
    <col min="3" max="3" width="14.5703125" customWidth="1"/>
    <col min="4" max="4" width="16.140625" bestFit="1" customWidth="1"/>
    <col min="5" max="8" width="14.5703125" customWidth="1"/>
    <col min="9" max="9" width="51.28515625" customWidth="1"/>
    <col min="10" max="10" width="33" customWidth="1"/>
    <col min="11" max="11" width="23.140625" bestFit="1" customWidth="1"/>
    <col min="12" max="12" width="4.28515625" customWidth="1"/>
    <col min="13" max="16" width="0" hidden="1" customWidth="1"/>
    <col min="17" max="16384" width="11.42578125" hidden="1"/>
  </cols>
  <sheetData>
    <row r="1" spans="1:12" x14ac:dyDescent="0.25">
      <c r="A1" s="3"/>
      <c r="B1" s="3"/>
      <c r="C1" s="3"/>
      <c r="D1" s="3"/>
      <c r="E1" s="3"/>
      <c r="F1" s="3"/>
      <c r="G1" s="3"/>
      <c r="H1" s="3"/>
      <c r="I1" s="3"/>
      <c r="J1" s="3"/>
      <c r="K1" s="3"/>
      <c r="L1" s="3"/>
    </row>
    <row r="2" spans="1:12" x14ac:dyDescent="0.25">
      <c r="A2" s="3"/>
      <c r="B2" s="3"/>
      <c r="C2" s="3"/>
      <c r="D2" s="3"/>
      <c r="E2" s="3"/>
      <c r="F2" s="3"/>
      <c r="G2" s="3"/>
      <c r="H2" s="3"/>
      <c r="I2" s="3"/>
      <c r="J2" s="3"/>
      <c r="K2" s="3"/>
      <c r="L2" s="3"/>
    </row>
    <row r="3" spans="1:12" x14ac:dyDescent="0.25">
      <c r="A3" s="3"/>
      <c r="B3" s="3"/>
      <c r="C3" s="3"/>
      <c r="D3" s="3"/>
      <c r="E3" s="3"/>
      <c r="F3" s="3"/>
      <c r="G3" s="3"/>
      <c r="H3" s="3"/>
      <c r="I3" s="3"/>
      <c r="J3" s="3"/>
      <c r="K3" s="3"/>
      <c r="L3" s="3"/>
    </row>
    <row r="4" spans="1:12" ht="36" x14ac:dyDescent="0.25">
      <c r="A4" s="4"/>
      <c r="B4" s="9" t="s">
        <v>224</v>
      </c>
      <c r="C4" s="9"/>
      <c r="D4" s="9"/>
      <c r="E4" s="9"/>
      <c r="F4" s="9"/>
      <c r="G4" s="9"/>
      <c r="H4" s="9"/>
      <c r="I4" s="4"/>
      <c r="J4" s="4"/>
      <c r="K4" s="4"/>
      <c r="L4" s="4"/>
    </row>
    <row r="5" spans="1:12" x14ac:dyDescent="0.25">
      <c r="A5" s="6"/>
      <c r="B5" s="6"/>
      <c r="C5" s="6"/>
      <c r="D5" s="6"/>
      <c r="E5" s="6"/>
      <c r="F5" s="6"/>
      <c r="G5" s="6"/>
      <c r="H5" s="6"/>
      <c r="I5" s="6"/>
      <c r="J5" s="6"/>
      <c r="K5" s="6"/>
      <c r="L5" s="6"/>
    </row>
    <row r="6" spans="1:12" x14ac:dyDescent="0.25">
      <c r="A6" s="6"/>
      <c r="B6" s="6"/>
      <c r="C6" s="6"/>
      <c r="D6" s="6"/>
      <c r="E6" s="6"/>
      <c r="F6" s="6"/>
      <c r="G6" s="6"/>
      <c r="H6" s="6"/>
      <c r="I6" s="6"/>
      <c r="J6" s="6"/>
      <c r="K6" s="6"/>
      <c r="L6" s="6"/>
    </row>
    <row r="7" spans="1:12" x14ac:dyDescent="0.25">
      <c r="A7" s="6"/>
      <c r="B7" s="10" t="s">
        <v>122</v>
      </c>
      <c r="C7" s="10"/>
      <c r="D7" s="6"/>
      <c r="E7" s="6"/>
      <c r="F7" s="6"/>
      <c r="G7" s="6"/>
      <c r="H7" s="6"/>
      <c r="I7" s="6"/>
      <c r="J7" s="6"/>
      <c r="K7" s="6"/>
      <c r="L7" s="6"/>
    </row>
    <row r="8" spans="1:12" x14ac:dyDescent="0.25">
      <c r="A8" s="6"/>
      <c r="B8" s="14" t="s">
        <v>129</v>
      </c>
      <c r="C8" s="20"/>
      <c r="D8" s="6"/>
      <c r="E8" s="6" t="s">
        <v>225</v>
      </c>
      <c r="F8" s="6"/>
      <c r="G8" s="6"/>
      <c r="H8" s="6"/>
      <c r="I8" s="6"/>
      <c r="J8" s="6"/>
      <c r="K8" s="6"/>
      <c r="L8" s="6"/>
    </row>
    <row r="9" spans="1:12" x14ac:dyDescent="0.25">
      <c r="A9" s="6"/>
      <c r="B9" s="14" t="s">
        <v>226</v>
      </c>
      <c r="C9" s="20"/>
      <c r="D9" s="6"/>
      <c r="E9" s="6"/>
      <c r="F9" s="6"/>
      <c r="G9" s="6"/>
      <c r="H9" s="6"/>
      <c r="I9" s="6"/>
      <c r="J9" s="6"/>
      <c r="K9" s="6"/>
      <c r="L9" s="6"/>
    </row>
    <row r="10" spans="1:12" x14ac:dyDescent="0.25">
      <c r="A10" s="6"/>
      <c r="B10" s="14" t="s">
        <v>227</v>
      </c>
      <c r="C10" s="20"/>
      <c r="D10" s="6"/>
      <c r="E10" s="6"/>
      <c r="F10" s="6"/>
      <c r="G10" s="6"/>
      <c r="H10" s="6"/>
      <c r="I10" s="6"/>
      <c r="J10" s="6"/>
      <c r="K10" s="6"/>
      <c r="L10" s="6"/>
    </row>
    <row r="11" spans="1:12" x14ac:dyDescent="0.25">
      <c r="A11" s="6"/>
      <c r="B11" s="6"/>
      <c r="C11" s="6"/>
      <c r="D11" s="6"/>
      <c r="E11" s="6"/>
      <c r="F11" s="6"/>
      <c r="G11" s="6"/>
      <c r="H11" s="6"/>
      <c r="I11" s="6"/>
      <c r="J11" s="6"/>
      <c r="K11" s="6"/>
      <c r="L11" s="6"/>
    </row>
    <row r="12" spans="1:12" x14ac:dyDescent="0.25">
      <c r="A12" s="6"/>
      <c r="B12" s="6"/>
      <c r="C12" s="6"/>
      <c r="D12" s="6"/>
      <c r="E12" s="6"/>
      <c r="F12" s="6"/>
      <c r="G12" s="6"/>
      <c r="H12" s="6"/>
      <c r="I12" s="6"/>
      <c r="J12" s="6"/>
      <c r="K12" s="6"/>
      <c r="L12" s="6"/>
    </row>
    <row r="13" spans="1:12" x14ac:dyDescent="0.25">
      <c r="A13" s="6"/>
      <c r="B13" s="10" t="s">
        <v>228</v>
      </c>
      <c r="C13" s="10"/>
      <c r="D13" s="6"/>
      <c r="E13" s="10" t="s">
        <v>229</v>
      </c>
      <c r="F13" s="10"/>
      <c r="G13" s="6"/>
      <c r="H13" s="6"/>
      <c r="I13" s="6"/>
      <c r="J13" s="6"/>
      <c r="K13" s="6"/>
      <c r="L13" s="6"/>
    </row>
    <row r="14" spans="1:12" x14ac:dyDescent="0.25">
      <c r="A14" s="6"/>
      <c r="B14" s="14" t="s">
        <v>129</v>
      </c>
      <c r="C14" s="20"/>
      <c r="D14" s="16"/>
      <c r="E14" s="14" t="s">
        <v>129</v>
      </c>
      <c r="F14" s="20"/>
      <c r="G14" s="16"/>
      <c r="H14" s="16"/>
      <c r="I14" s="6"/>
      <c r="J14" s="6"/>
      <c r="K14" s="6"/>
      <c r="L14" s="6"/>
    </row>
    <row r="15" spans="1:12" x14ac:dyDescent="0.25">
      <c r="A15" s="6"/>
      <c r="B15" s="14" t="s">
        <v>230</v>
      </c>
      <c r="C15" s="20"/>
      <c r="D15" s="16"/>
      <c r="E15" s="14" t="s">
        <v>187</v>
      </c>
      <c r="F15" s="20"/>
      <c r="G15" s="16"/>
      <c r="H15" s="16"/>
      <c r="I15" s="6"/>
      <c r="J15" s="6"/>
      <c r="K15" s="6"/>
      <c r="L15" s="6"/>
    </row>
    <row r="16" spans="1:12" x14ac:dyDescent="0.25">
      <c r="A16" s="6"/>
      <c r="B16" s="14" t="s">
        <v>231</v>
      </c>
      <c r="C16" s="20"/>
      <c r="D16" s="16"/>
      <c r="E16" s="14" t="s">
        <v>232</v>
      </c>
      <c r="F16" s="20"/>
      <c r="G16" s="16"/>
      <c r="H16" s="16"/>
      <c r="I16" s="6"/>
      <c r="J16" s="6"/>
      <c r="K16" s="6"/>
      <c r="L16" s="6"/>
    </row>
    <row r="17" spans="1:12" x14ac:dyDescent="0.25">
      <c r="A17" s="6"/>
      <c r="B17" s="6"/>
      <c r="C17" s="6"/>
      <c r="D17" s="6"/>
      <c r="E17" s="6"/>
      <c r="F17" s="6"/>
      <c r="G17" s="6"/>
      <c r="H17" s="6"/>
      <c r="I17" s="6"/>
      <c r="J17" s="6"/>
      <c r="K17" s="6"/>
      <c r="L17" s="6"/>
    </row>
    <row r="18" spans="1:12" x14ac:dyDescent="0.25">
      <c r="A18" s="6"/>
      <c r="B18" s="6"/>
      <c r="C18" s="6"/>
      <c r="D18" s="6"/>
      <c r="E18" s="6"/>
      <c r="F18" s="6"/>
      <c r="G18" s="6"/>
      <c r="H18" s="6"/>
      <c r="I18" s="6"/>
      <c r="J18" s="6"/>
      <c r="K18" s="6"/>
      <c r="L18" s="6"/>
    </row>
    <row r="19" spans="1:12" x14ac:dyDescent="0.25">
      <c r="A19" s="6"/>
      <c r="B19" s="10" t="s">
        <v>58</v>
      </c>
      <c r="C19" s="10"/>
      <c r="D19" s="6"/>
      <c r="E19" s="10" t="s">
        <v>190</v>
      </c>
      <c r="F19" s="10"/>
      <c r="G19" s="6"/>
      <c r="H19" s="6"/>
      <c r="I19" s="6"/>
      <c r="J19" s="6"/>
      <c r="K19" s="6"/>
      <c r="L19" s="6"/>
    </row>
    <row r="20" spans="1:12" x14ac:dyDescent="0.25">
      <c r="A20" s="6"/>
      <c r="B20" s="14" t="s">
        <v>129</v>
      </c>
      <c r="C20" s="20">
        <v>0</v>
      </c>
      <c r="D20" s="6"/>
      <c r="E20" s="14" t="s">
        <v>129</v>
      </c>
      <c r="F20" s="20"/>
      <c r="G20" s="6"/>
      <c r="H20" s="6"/>
      <c r="I20" s="6"/>
      <c r="J20" s="6"/>
      <c r="K20" s="6"/>
      <c r="L20" s="6"/>
    </row>
    <row r="21" spans="1:12" x14ac:dyDescent="0.25">
      <c r="A21" s="6"/>
      <c r="B21" s="14" t="s">
        <v>233</v>
      </c>
      <c r="C21" s="20">
        <v>741</v>
      </c>
      <c r="D21" s="6"/>
      <c r="E21" s="14" t="str">
        <f>E27</f>
        <v>31.12.2021 eller før</v>
      </c>
      <c r="F21" s="20"/>
      <c r="G21" s="6"/>
      <c r="H21" s="6"/>
      <c r="I21" s="6"/>
      <c r="J21" s="6"/>
      <c r="K21" s="6"/>
      <c r="L21" s="6"/>
    </row>
    <row r="22" spans="1:12" x14ac:dyDescent="0.25">
      <c r="A22" s="6"/>
      <c r="B22" s="14" t="s">
        <v>234</v>
      </c>
      <c r="C22" s="20">
        <v>606</v>
      </c>
      <c r="D22" s="6"/>
      <c r="E22" s="14" t="str">
        <f>D27</f>
        <v>01.01.2022 eller etter</v>
      </c>
      <c r="F22" s="20"/>
      <c r="G22" s="6"/>
      <c r="H22" s="6"/>
      <c r="I22" s="6"/>
      <c r="J22" s="6"/>
      <c r="K22" s="6"/>
      <c r="L22" s="6"/>
    </row>
    <row r="23" spans="1:12" x14ac:dyDescent="0.25">
      <c r="A23" s="6"/>
      <c r="B23" s="14" t="s">
        <v>235</v>
      </c>
      <c r="C23" s="20">
        <v>635</v>
      </c>
      <c r="D23" s="6"/>
      <c r="E23" s="6"/>
      <c r="F23" s="6"/>
      <c r="G23" s="6"/>
      <c r="H23" s="6"/>
      <c r="I23" s="6"/>
      <c r="J23" s="6"/>
      <c r="K23" s="6"/>
      <c r="L23" s="6"/>
    </row>
    <row r="24" spans="1:12" x14ac:dyDescent="0.25">
      <c r="A24" s="6"/>
      <c r="B24" s="14" t="s">
        <v>236</v>
      </c>
      <c r="C24" s="20">
        <v>664</v>
      </c>
      <c r="D24" s="6"/>
      <c r="E24" s="6"/>
      <c r="F24" s="6"/>
      <c r="G24" s="6"/>
      <c r="H24" s="6"/>
      <c r="I24" s="6"/>
      <c r="J24" s="6"/>
      <c r="K24" s="6"/>
      <c r="L24" s="6"/>
    </row>
    <row r="25" spans="1:12" x14ac:dyDescent="0.25">
      <c r="A25" s="6"/>
      <c r="B25" s="14" t="s">
        <v>237</v>
      </c>
      <c r="C25" s="27"/>
      <c r="D25" s="6"/>
      <c r="E25" s="6"/>
      <c r="F25" s="6"/>
      <c r="G25" s="6"/>
      <c r="H25" s="6"/>
      <c r="I25" s="6"/>
      <c r="J25" s="6"/>
      <c r="K25" s="6"/>
      <c r="L25" s="6"/>
    </row>
    <row r="26" spans="1:12" x14ac:dyDescent="0.25">
      <c r="A26" s="6"/>
      <c r="B26" s="6"/>
      <c r="C26" s="6"/>
      <c r="D26" s="6"/>
      <c r="E26" s="6"/>
      <c r="F26" s="6"/>
      <c r="G26" s="6"/>
      <c r="H26" s="6"/>
      <c r="I26" s="6"/>
      <c r="J26" s="6"/>
      <c r="K26" s="6"/>
      <c r="L26" s="6"/>
    </row>
    <row r="27" spans="1:12" x14ac:dyDescent="0.25">
      <c r="A27" s="6"/>
      <c r="B27" s="6"/>
      <c r="C27" s="6"/>
      <c r="D27" s="6" t="s">
        <v>238</v>
      </c>
      <c r="E27" s="6" t="s">
        <v>239</v>
      </c>
      <c r="F27" s="6"/>
      <c r="G27" s="6" t="s">
        <v>240</v>
      </c>
      <c r="H27" s="6"/>
      <c r="I27" s="6"/>
      <c r="J27" s="6"/>
      <c r="K27" s="6"/>
      <c r="L27" s="6"/>
    </row>
    <row r="28" spans="1:12" ht="15" customHeight="1" x14ac:dyDescent="0.25">
      <c r="A28" s="6"/>
      <c r="B28" s="10" t="s">
        <v>241</v>
      </c>
      <c r="C28" s="18" t="s">
        <v>242</v>
      </c>
      <c r="D28" s="18" t="s">
        <v>243</v>
      </c>
      <c r="E28" s="11" t="s">
        <v>244</v>
      </c>
      <c r="F28" s="11" t="s">
        <v>245</v>
      </c>
      <c r="G28" s="11" t="str">
        <f>E15</f>
        <v>Døgnopphold på senteret</v>
      </c>
      <c r="H28" s="11" t="str">
        <f>E16</f>
        <v>Hjemme/poliklinisk</v>
      </c>
      <c r="I28" s="12" t="s">
        <v>246</v>
      </c>
      <c r="J28" s="87" t="s">
        <v>247</v>
      </c>
      <c r="K28" s="6"/>
      <c r="L28" s="6"/>
    </row>
    <row r="29" spans="1:12" x14ac:dyDescent="0.25">
      <c r="A29" s="6"/>
      <c r="B29" s="13">
        <v>2022</v>
      </c>
      <c r="C29" s="15">
        <v>170000</v>
      </c>
      <c r="D29" s="17">
        <v>85000</v>
      </c>
      <c r="E29" s="17">
        <v>37100</v>
      </c>
      <c r="F29" s="17">
        <v>15000</v>
      </c>
      <c r="G29" s="17">
        <v>71000</v>
      </c>
      <c r="H29" s="17">
        <v>11000</v>
      </c>
      <c r="I29" s="32" t="s">
        <v>248</v>
      </c>
      <c r="J29" s="88" t="s">
        <v>249</v>
      </c>
      <c r="K29" s="6" t="s">
        <v>248</v>
      </c>
      <c r="L29" s="6"/>
    </row>
    <row r="30" spans="1:12" x14ac:dyDescent="0.25">
      <c r="A30" s="6"/>
      <c r="B30" s="13">
        <v>2023</v>
      </c>
      <c r="C30" s="15">
        <v>175000</v>
      </c>
      <c r="D30" s="17">
        <v>87500</v>
      </c>
      <c r="E30" s="17">
        <v>38100</v>
      </c>
      <c r="F30" s="17">
        <v>15500</v>
      </c>
      <c r="G30" s="17">
        <v>73000</v>
      </c>
      <c r="H30" s="17">
        <v>11500</v>
      </c>
      <c r="I30" s="32" t="s">
        <v>248</v>
      </c>
      <c r="J30" s="88" t="s">
        <v>250</v>
      </c>
      <c r="K30" s="6" t="s">
        <v>248</v>
      </c>
      <c r="L30" s="6"/>
    </row>
    <row r="31" spans="1:12" x14ac:dyDescent="0.25">
      <c r="A31" s="6"/>
      <c r="B31" s="13">
        <v>2024</v>
      </c>
      <c r="C31" s="15">
        <v>182700</v>
      </c>
      <c r="D31" s="17">
        <v>91350</v>
      </c>
      <c r="E31" s="17">
        <v>39780</v>
      </c>
      <c r="F31" s="17">
        <v>16180</v>
      </c>
      <c r="G31" s="17">
        <v>76210</v>
      </c>
      <c r="H31" s="17">
        <v>13085</v>
      </c>
      <c r="I31" s="32" t="s">
        <v>248</v>
      </c>
      <c r="J31" s="88" t="s">
        <v>251</v>
      </c>
      <c r="K31" s="6" t="s">
        <v>248</v>
      </c>
      <c r="L31" s="6"/>
    </row>
    <row r="32" spans="1:12" x14ac:dyDescent="0.25">
      <c r="A32" s="6"/>
      <c r="B32" s="13">
        <v>2025</v>
      </c>
      <c r="C32" s="15">
        <v>190190</v>
      </c>
      <c r="D32" s="17">
        <v>95095</v>
      </c>
      <c r="E32" s="17">
        <v>41410</v>
      </c>
      <c r="F32" s="17">
        <v>16845</v>
      </c>
      <c r="G32" s="17">
        <v>79335</v>
      </c>
      <c r="H32" s="17">
        <v>13620</v>
      </c>
      <c r="I32" s="32" t="s">
        <v>248</v>
      </c>
      <c r="J32" s="88" t="s">
        <v>252</v>
      </c>
      <c r="K32" s="6" t="s">
        <v>248</v>
      </c>
      <c r="L32" s="6"/>
    </row>
    <row r="33" spans="1:12" x14ac:dyDescent="0.25">
      <c r="A33" s="6"/>
      <c r="B33" s="13">
        <v>2026</v>
      </c>
      <c r="C33" s="15">
        <f>C32</f>
        <v>190190</v>
      </c>
      <c r="D33" s="15">
        <f t="shared" ref="D33" si="0">D32</f>
        <v>95095</v>
      </c>
      <c r="E33" s="15">
        <f t="shared" ref="E33" si="1">E32</f>
        <v>41410</v>
      </c>
      <c r="F33" s="17">
        <v>16845</v>
      </c>
      <c r="G33" s="17"/>
      <c r="H33" s="17"/>
      <c r="I33" s="32" t="str">
        <f>"*Satsen fra "&amp;B33&amp;" er ennå ikke fastsatt og videreføres derfor fra 2025."</f>
        <v>*Satsen fra 2026 er ennå ikke fastsatt og videreføres derfor fra 2025.</v>
      </c>
      <c r="J33" s="89" t="s">
        <v>87</v>
      </c>
      <c r="K33" s="31"/>
      <c r="L33" s="6"/>
    </row>
    <row r="34" spans="1:12" x14ac:dyDescent="0.25">
      <c r="A34" s="6"/>
      <c r="B34" s="13">
        <v>2027</v>
      </c>
      <c r="C34" s="15">
        <f t="shared" ref="C34:E35" si="2">C32</f>
        <v>190190</v>
      </c>
      <c r="D34" s="15">
        <f t="shared" si="2"/>
        <v>95095</v>
      </c>
      <c r="E34" s="15">
        <f t="shared" si="2"/>
        <v>41410</v>
      </c>
      <c r="F34" s="17">
        <v>16845</v>
      </c>
      <c r="G34" s="17"/>
      <c r="H34" s="17"/>
      <c r="I34" s="32" t="str">
        <f>"*Satsen fra "&amp;B34&amp;" er ennå ikke fastsatt og videreføres derfor fra 2025."</f>
        <v>*Satsen fra 2027 er ennå ikke fastsatt og videreføres derfor fra 2025.</v>
      </c>
      <c r="J34" s="89" t="s">
        <v>87</v>
      </c>
      <c r="K34" s="31"/>
      <c r="L34" s="6"/>
    </row>
    <row r="35" spans="1:12" x14ac:dyDescent="0.25">
      <c r="A35" s="6"/>
      <c r="B35" s="13">
        <v>2028</v>
      </c>
      <c r="C35" s="15">
        <f t="shared" si="2"/>
        <v>190190</v>
      </c>
      <c r="D35" s="15">
        <f t="shared" si="2"/>
        <v>95095</v>
      </c>
      <c r="E35" s="15">
        <f t="shared" si="2"/>
        <v>41410</v>
      </c>
      <c r="F35" s="17">
        <v>16845</v>
      </c>
      <c r="G35" s="17"/>
      <c r="H35" s="17"/>
      <c r="I35" s="32" t="str">
        <f>"*Satsen fra "&amp;B35&amp;" er ennå ikke fastsatt og videreføres derfor fra 2025."</f>
        <v>*Satsen fra 2028 er ennå ikke fastsatt og videreføres derfor fra 2025.</v>
      </c>
      <c r="J35" s="89" t="s">
        <v>87</v>
      </c>
      <c r="K35" s="31"/>
      <c r="L35" s="6"/>
    </row>
    <row r="36" spans="1:12" x14ac:dyDescent="0.25">
      <c r="A36" s="6"/>
      <c r="B36" s="6"/>
      <c r="C36" s="6"/>
      <c r="D36" s="6"/>
      <c r="E36" s="6"/>
      <c r="F36" s="6"/>
      <c r="G36" s="6"/>
      <c r="H36" s="6"/>
      <c r="I36" s="6"/>
      <c r="J36" s="6"/>
      <c r="K36" s="6"/>
      <c r="L36" s="6"/>
    </row>
    <row r="37" spans="1:12" x14ac:dyDescent="0.25">
      <c r="A37" s="7"/>
      <c r="B37" s="12"/>
      <c r="C37" s="80" t="s">
        <v>253</v>
      </c>
      <c r="D37" s="18" t="s">
        <v>254</v>
      </c>
      <c r="E37" s="90"/>
      <c r="F37" s="90"/>
      <c r="G37" s="90"/>
      <c r="H37" s="90"/>
      <c r="I37" s="12" t="s">
        <v>246</v>
      </c>
      <c r="J37" s="87" t="s">
        <v>247</v>
      </c>
      <c r="K37" s="6"/>
      <c r="L37" s="7"/>
    </row>
    <row r="38" spans="1:12" x14ac:dyDescent="0.25">
      <c r="A38" s="6"/>
      <c r="B38" s="13">
        <v>2022</v>
      </c>
      <c r="C38" s="15">
        <v>9383</v>
      </c>
      <c r="D38" s="15">
        <v>922</v>
      </c>
      <c r="E38" s="17"/>
      <c r="F38" s="17"/>
      <c r="G38" s="17"/>
      <c r="H38" s="17"/>
      <c r="I38" s="91" t="s">
        <v>248</v>
      </c>
      <c r="J38" s="88" t="s">
        <v>255</v>
      </c>
      <c r="K38" s="6" t="s">
        <v>248</v>
      </c>
      <c r="L38" s="6"/>
    </row>
    <row r="39" spans="1:12" x14ac:dyDescent="0.25">
      <c r="A39" s="6"/>
      <c r="B39" s="13">
        <v>2023</v>
      </c>
      <c r="C39" s="15">
        <v>9885</v>
      </c>
      <c r="D39" s="15">
        <v>981</v>
      </c>
      <c r="E39" s="17"/>
      <c r="F39" s="17"/>
      <c r="G39" s="17"/>
      <c r="H39" s="17"/>
      <c r="I39" s="91" t="s">
        <v>248</v>
      </c>
      <c r="J39" s="88" t="s">
        <v>256</v>
      </c>
      <c r="K39" s="6" t="s">
        <v>248</v>
      </c>
      <c r="L39" s="6"/>
    </row>
    <row r="40" spans="1:12" x14ac:dyDescent="0.25">
      <c r="A40" s="6"/>
      <c r="B40" s="13">
        <v>2024</v>
      </c>
      <c r="C40" s="15">
        <v>10336</v>
      </c>
      <c r="D40" s="15">
        <v>1026</v>
      </c>
      <c r="E40" s="17"/>
      <c r="F40" s="17"/>
      <c r="G40" s="17"/>
      <c r="H40" s="17"/>
      <c r="I40" s="91" t="s">
        <v>248</v>
      </c>
      <c r="J40" s="88" t="s">
        <v>257</v>
      </c>
      <c r="K40" s="6" t="s">
        <v>248</v>
      </c>
      <c r="L40" s="6"/>
    </row>
    <row r="41" spans="1:12" x14ac:dyDescent="0.25">
      <c r="A41" s="6"/>
      <c r="B41" s="13">
        <v>2025</v>
      </c>
      <c r="C41" s="15">
        <v>10847</v>
      </c>
      <c r="D41" s="15">
        <v>1077</v>
      </c>
      <c r="E41" s="17"/>
      <c r="F41" s="17"/>
      <c r="G41" s="17"/>
      <c r="H41" s="17"/>
      <c r="I41" s="91" t="s">
        <v>248</v>
      </c>
      <c r="J41" s="88" t="s">
        <v>258</v>
      </c>
      <c r="K41" s="6"/>
      <c r="L41" s="6"/>
    </row>
    <row r="42" spans="1:12" x14ac:dyDescent="0.25">
      <c r="A42" s="6"/>
      <c r="B42" s="13">
        <v>2026</v>
      </c>
      <c r="C42" s="15">
        <f>C41</f>
        <v>10847</v>
      </c>
      <c r="D42" s="78">
        <v>1077</v>
      </c>
      <c r="E42" s="79"/>
      <c r="F42" s="79"/>
      <c r="G42" s="79"/>
      <c r="H42" s="79"/>
      <c r="I42" s="32" t="str">
        <f>"*Satsen fra "&amp;B42&amp;" er ennå ikke fastsatt og videreføres derfor fra 2025."</f>
        <v>*Satsen fra 2026 er ennå ikke fastsatt og videreføres derfor fra 2025.</v>
      </c>
      <c r="J42" s="89" t="s">
        <v>87</v>
      </c>
      <c r="K42" s="31"/>
      <c r="L42" s="6"/>
    </row>
    <row r="43" spans="1:12" x14ac:dyDescent="0.25">
      <c r="A43" s="6"/>
      <c r="B43" s="13">
        <v>2027</v>
      </c>
      <c r="C43" s="15">
        <f>C41</f>
        <v>10847</v>
      </c>
      <c r="D43" s="78">
        <v>1077</v>
      </c>
      <c r="E43" s="79"/>
      <c r="F43" s="79"/>
      <c r="G43" s="79"/>
      <c r="H43" s="79"/>
      <c r="I43" s="32" t="str">
        <f>"*Satsen fra "&amp;B43&amp;" er ennå ikke fastsatt og videreføres derfor fra 2025."</f>
        <v>*Satsen fra 2027 er ennå ikke fastsatt og videreføres derfor fra 2025.</v>
      </c>
      <c r="J43" s="89" t="s">
        <v>87</v>
      </c>
      <c r="K43" s="31"/>
      <c r="L43" s="6"/>
    </row>
    <row r="44" spans="1:12" x14ac:dyDescent="0.25">
      <c r="A44" s="6"/>
      <c r="B44" s="13">
        <v>2028</v>
      </c>
      <c r="C44" s="15">
        <f>C42</f>
        <v>10847</v>
      </c>
      <c r="D44" s="78">
        <v>1077</v>
      </c>
      <c r="E44" s="79"/>
      <c r="F44" s="79"/>
      <c r="G44" s="79"/>
      <c r="H44" s="79"/>
      <c r="I44" s="32" t="str">
        <f>"*Satsen fra "&amp;B44&amp;" er ennå ikke fastsatt og videreføres derfor fra 2025."</f>
        <v>*Satsen fra 2028 er ennå ikke fastsatt og videreføres derfor fra 2025.</v>
      </c>
      <c r="J44" s="89" t="s">
        <v>87</v>
      </c>
      <c r="K44" s="31"/>
      <c r="L44" s="6"/>
    </row>
    <row r="45" spans="1:12" x14ac:dyDescent="0.25">
      <c r="A45" s="6"/>
      <c r="B45" s="6"/>
      <c r="C45" s="6"/>
      <c r="D45" s="6"/>
      <c r="E45" s="6"/>
      <c r="F45" s="6"/>
      <c r="G45" s="6"/>
      <c r="H45" s="6"/>
      <c r="I45" s="6"/>
      <c r="J45" s="6"/>
      <c r="K45" s="6"/>
      <c r="L45" s="6"/>
    </row>
    <row r="46" spans="1:12" x14ac:dyDescent="0.25">
      <c r="A46" s="6"/>
      <c r="B46" s="6"/>
      <c r="C46" s="6"/>
      <c r="D46" s="6"/>
      <c r="E46" s="6"/>
      <c r="F46" s="6"/>
      <c r="G46" s="6"/>
      <c r="H46" s="6"/>
      <c r="I46" s="6"/>
      <c r="J46" s="6"/>
      <c r="K46" s="6"/>
      <c r="L46" s="6"/>
    </row>
    <row r="47" spans="1:12" x14ac:dyDescent="0.25">
      <c r="A47" s="6"/>
      <c r="B47" s="10" t="s">
        <v>20</v>
      </c>
      <c r="C47" s="10"/>
      <c r="D47" s="6"/>
      <c r="E47" s="6"/>
      <c r="F47" s="6"/>
      <c r="G47" s="6"/>
      <c r="H47" s="6"/>
      <c r="I47" s="6"/>
      <c r="J47" s="6"/>
      <c r="K47" s="6"/>
      <c r="L47" s="6"/>
    </row>
    <row r="48" spans="1:12" x14ac:dyDescent="0.25">
      <c r="A48" s="6"/>
      <c r="B48" s="14" t="s">
        <v>129</v>
      </c>
      <c r="C48" s="20">
        <v>0</v>
      </c>
      <c r="D48" s="6"/>
      <c r="E48" s="6"/>
      <c r="F48" s="6"/>
      <c r="G48" s="6"/>
      <c r="H48" s="6"/>
      <c r="I48" s="6"/>
      <c r="J48" s="6"/>
      <c r="K48" s="6"/>
      <c r="L48" s="6"/>
    </row>
    <row r="49" spans="1:12" x14ac:dyDescent="0.25">
      <c r="A49" s="6"/>
      <c r="B49" s="14" t="s">
        <v>259</v>
      </c>
      <c r="C49" s="20">
        <v>33.6</v>
      </c>
      <c r="D49" s="6"/>
      <c r="E49" s="6"/>
      <c r="F49" s="6"/>
      <c r="G49" s="6"/>
      <c r="H49" s="6"/>
      <c r="I49" s="6"/>
      <c r="J49" s="6"/>
      <c r="K49" s="6"/>
      <c r="L49" s="6"/>
    </row>
    <row r="50" spans="1:12" x14ac:dyDescent="0.25">
      <c r="A50" s="6"/>
      <c r="B50" s="14" t="s">
        <v>260</v>
      </c>
      <c r="C50" s="20">
        <v>35.5</v>
      </c>
      <c r="D50" s="6"/>
      <c r="E50" s="6"/>
      <c r="F50" s="6"/>
      <c r="G50" s="6"/>
      <c r="H50" s="6"/>
      <c r="I50" s="6"/>
      <c r="J50" s="6"/>
      <c r="K50" s="6"/>
      <c r="L50" s="6"/>
    </row>
    <row r="51" spans="1:12" x14ac:dyDescent="0.25">
      <c r="A51" s="6"/>
      <c r="B51" s="14" t="s">
        <v>106</v>
      </c>
      <c r="C51" s="20">
        <v>37.5</v>
      </c>
      <c r="D51" s="6"/>
      <c r="E51" s="6"/>
      <c r="F51" s="6"/>
      <c r="G51" s="6"/>
      <c r="H51" s="6"/>
      <c r="I51" s="6"/>
      <c r="J51" s="6"/>
      <c r="K51" s="6"/>
      <c r="L51" s="6"/>
    </row>
    <row r="52" spans="1:12" x14ac:dyDescent="0.25">
      <c r="A52" s="6"/>
      <c r="B52" s="14" t="s">
        <v>261</v>
      </c>
      <c r="C52" s="20">
        <v>40</v>
      </c>
      <c r="D52" s="6"/>
      <c r="E52" s="6"/>
      <c r="F52" s="6"/>
      <c r="G52" s="6"/>
      <c r="H52" s="6"/>
      <c r="I52" s="6"/>
      <c r="J52" s="6"/>
      <c r="K52" s="6"/>
      <c r="L52" s="6"/>
    </row>
    <row r="53" spans="1:12" x14ac:dyDescent="0.25">
      <c r="A53" s="6"/>
      <c r="B53" s="14" t="s">
        <v>262</v>
      </c>
      <c r="C53" s="20">
        <v>42</v>
      </c>
      <c r="D53" s="6"/>
      <c r="E53" s="6"/>
      <c r="F53" s="6"/>
      <c r="G53" s="6"/>
      <c r="H53" s="6"/>
      <c r="I53" s="6"/>
      <c r="J53" s="6"/>
      <c r="K53" s="6"/>
      <c r="L53" s="6"/>
    </row>
    <row r="54" spans="1:12" x14ac:dyDescent="0.25">
      <c r="A54" s="6"/>
      <c r="B54" s="6"/>
      <c r="C54" s="6"/>
      <c r="D54" s="6"/>
      <c r="E54" s="6"/>
      <c r="F54" s="6"/>
      <c r="G54" s="6"/>
      <c r="H54" s="6"/>
      <c r="I54" s="6"/>
      <c r="J54" s="6"/>
      <c r="K54" s="6"/>
      <c r="L54" s="6"/>
    </row>
    <row r="55" spans="1:12" x14ac:dyDescent="0.25">
      <c r="A55" s="6"/>
      <c r="B55" s="6"/>
      <c r="C55" s="6"/>
      <c r="D55" s="6"/>
      <c r="E55" s="6"/>
      <c r="F55" s="6"/>
      <c r="G55" s="6"/>
      <c r="H55" s="6"/>
      <c r="I55" s="6"/>
      <c r="J55" s="6"/>
      <c r="K55" s="6"/>
      <c r="L55" s="6"/>
    </row>
    <row r="56" spans="1:12" x14ac:dyDescent="0.25">
      <c r="A56" s="6"/>
      <c r="B56" s="10" t="s">
        <v>263</v>
      </c>
      <c r="C56" s="10"/>
      <c r="D56" s="6"/>
      <c r="E56" s="6"/>
      <c r="F56" s="6"/>
      <c r="G56" s="6"/>
      <c r="H56" s="6"/>
      <c r="I56" s="6"/>
      <c r="J56" s="6"/>
      <c r="K56" s="6"/>
      <c r="L56" s="6"/>
    </row>
    <row r="57" spans="1:12" x14ac:dyDescent="0.25">
      <c r="A57" s="6"/>
      <c r="B57" s="14" t="s">
        <v>129</v>
      </c>
      <c r="C57" s="20"/>
      <c r="D57" s="6"/>
      <c r="E57" s="6"/>
      <c r="F57" s="6"/>
      <c r="G57" s="6"/>
      <c r="H57" s="6"/>
      <c r="I57" s="6"/>
      <c r="J57" s="6"/>
      <c r="K57" s="6"/>
      <c r="L57" s="6"/>
    </row>
    <row r="58" spans="1:12" x14ac:dyDescent="0.25">
      <c r="A58" s="6"/>
      <c r="B58" s="47">
        <v>0.14099999999999999</v>
      </c>
      <c r="C58" s="20" t="s">
        <v>264</v>
      </c>
      <c r="D58" s="6"/>
      <c r="E58" s="6"/>
      <c r="F58" s="6"/>
      <c r="G58" s="6"/>
      <c r="H58" s="6"/>
      <c r="I58" s="6"/>
      <c r="J58" s="6"/>
      <c r="K58" s="6"/>
      <c r="L58" s="6"/>
    </row>
    <row r="59" spans="1:12" x14ac:dyDescent="0.25">
      <c r="A59" s="6"/>
      <c r="B59" s="47">
        <v>0.106</v>
      </c>
      <c r="C59" s="20" t="s">
        <v>265</v>
      </c>
      <c r="D59" s="6"/>
      <c r="E59" s="6"/>
      <c r="F59" s="6"/>
      <c r="G59" s="6"/>
      <c r="H59" s="6"/>
      <c r="I59" s="6"/>
      <c r="J59" s="6"/>
      <c r="K59" s="6"/>
      <c r="L59" s="6"/>
    </row>
    <row r="60" spans="1:12" x14ac:dyDescent="0.25">
      <c r="A60" s="6"/>
      <c r="B60" s="47">
        <v>6.4000000000000001E-2</v>
      </c>
      <c r="C60" s="20" t="s">
        <v>266</v>
      </c>
      <c r="D60" s="6"/>
      <c r="E60" s="6"/>
      <c r="F60" s="6"/>
      <c r="G60" s="6"/>
      <c r="H60" s="6"/>
      <c r="I60" s="6"/>
      <c r="J60" s="6"/>
      <c r="K60" s="6"/>
      <c r="L60" s="6"/>
    </row>
    <row r="61" spans="1:12" x14ac:dyDescent="0.25">
      <c r="A61" s="6"/>
      <c r="B61" s="47">
        <v>5.0999999999999997E-2</v>
      </c>
      <c r="C61" s="20" t="s">
        <v>267</v>
      </c>
      <c r="D61" s="6"/>
      <c r="E61" s="6"/>
      <c r="F61" s="6"/>
      <c r="G61" s="6"/>
      <c r="H61" s="6"/>
      <c r="I61" s="6"/>
      <c r="J61" s="6"/>
      <c r="K61" s="6"/>
      <c r="L61" s="6"/>
    </row>
    <row r="62" spans="1:12" x14ac:dyDescent="0.25">
      <c r="A62" s="6"/>
      <c r="B62" s="47">
        <v>7.9000000000000001E-2</v>
      </c>
      <c r="C62" s="20" t="s">
        <v>268</v>
      </c>
      <c r="D62" s="6"/>
      <c r="E62" s="6"/>
      <c r="F62" s="6"/>
      <c r="G62" s="6"/>
      <c r="H62" s="6"/>
      <c r="I62" s="6"/>
      <c r="J62" s="6"/>
      <c r="K62" s="6"/>
      <c r="L62" s="6"/>
    </row>
    <row r="63" spans="1:12" x14ac:dyDescent="0.25">
      <c r="A63" s="6"/>
      <c r="B63" s="47">
        <v>0</v>
      </c>
      <c r="C63" s="20" t="s">
        <v>269</v>
      </c>
      <c r="D63" s="6"/>
      <c r="E63" s="6"/>
      <c r="F63" s="6"/>
      <c r="G63" s="6"/>
      <c r="H63" s="6"/>
      <c r="I63" s="6"/>
      <c r="J63" s="6"/>
      <c r="K63" s="6"/>
      <c r="L63" s="6"/>
    </row>
    <row r="64" spans="1:12" x14ac:dyDescent="0.25">
      <c r="A64" s="6"/>
      <c r="B64" s="16"/>
      <c r="C64" s="44"/>
      <c r="D64" s="6"/>
      <c r="E64" s="6"/>
      <c r="F64" s="6"/>
      <c r="G64" s="6"/>
      <c r="H64" s="6"/>
      <c r="I64" s="6"/>
      <c r="J64" s="6"/>
      <c r="K64" s="6"/>
      <c r="L64" s="6"/>
    </row>
    <row r="65" spans="1:12" x14ac:dyDescent="0.25">
      <c r="A65" s="6"/>
      <c r="B65" s="16"/>
      <c r="C65" s="44"/>
      <c r="D65" s="6"/>
      <c r="E65" s="6"/>
      <c r="F65" s="6"/>
      <c r="G65" s="6"/>
      <c r="H65" s="6"/>
      <c r="I65" s="6"/>
      <c r="J65" s="6"/>
      <c r="K65" s="6"/>
      <c r="L65" s="6"/>
    </row>
    <row r="66" spans="1:12" x14ac:dyDescent="0.25">
      <c r="A66" s="6"/>
      <c r="B66" s="10" t="s">
        <v>270</v>
      </c>
      <c r="C66" s="10"/>
      <c r="D66" s="6"/>
      <c r="E66" s="10" t="s">
        <v>270</v>
      </c>
      <c r="F66" s="10"/>
      <c r="G66" s="564"/>
      <c r="H66" s="564"/>
      <c r="I66" s="6"/>
      <c r="J66" s="6"/>
      <c r="K66" s="6"/>
      <c r="L66" s="6"/>
    </row>
    <row r="67" spans="1:12" x14ac:dyDescent="0.25">
      <c r="A67" s="6"/>
      <c r="B67" s="14" t="s">
        <v>129</v>
      </c>
      <c r="C67" s="20"/>
      <c r="D67" s="6"/>
      <c r="E67" s="14" t="s">
        <v>129</v>
      </c>
      <c r="F67" s="20"/>
      <c r="G67" s="565"/>
      <c r="H67" s="565"/>
      <c r="I67" s="6"/>
      <c r="J67" s="6"/>
      <c r="K67" s="6"/>
      <c r="L67" s="6"/>
    </row>
    <row r="68" spans="1:12" x14ac:dyDescent="0.25">
      <c r="A68" s="6"/>
      <c r="B68" s="45">
        <v>0.12</v>
      </c>
      <c r="C68" s="43"/>
      <c r="D68" s="6"/>
      <c r="E68" s="45" t="s">
        <v>271</v>
      </c>
      <c r="F68" s="43"/>
      <c r="G68" s="44"/>
      <c r="H68" s="44"/>
      <c r="I68" s="6"/>
      <c r="J68" s="6"/>
      <c r="K68" s="6"/>
      <c r="L68" s="6"/>
    </row>
    <row r="69" spans="1:12" x14ac:dyDescent="0.25">
      <c r="A69" s="6"/>
      <c r="B69" s="46">
        <v>0.14299999999999999</v>
      </c>
      <c r="C69" s="43"/>
      <c r="D69" s="6"/>
      <c r="E69" s="46" t="s">
        <v>272</v>
      </c>
      <c r="F69" s="43"/>
      <c r="G69" s="44"/>
      <c r="H69" s="44"/>
      <c r="I69" s="6"/>
      <c r="J69" s="6"/>
      <c r="K69" s="6"/>
      <c r="L69" s="6"/>
    </row>
    <row r="70" spans="1:12" x14ac:dyDescent="0.25">
      <c r="A70" s="6"/>
      <c r="B70" s="16"/>
      <c r="C70" s="44"/>
      <c r="D70" s="6"/>
      <c r="E70" s="46" t="s">
        <v>273</v>
      </c>
      <c r="F70" s="43"/>
      <c r="G70" s="44"/>
      <c r="H70" s="44"/>
      <c r="I70" s="6"/>
      <c r="J70" s="6"/>
      <c r="K70" s="6"/>
      <c r="L70" s="6"/>
    </row>
    <row r="71" spans="1:12" x14ac:dyDescent="0.25">
      <c r="A71" s="6"/>
      <c r="B71" s="6"/>
      <c r="C71" s="6"/>
      <c r="D71" s="6"/>
      <c r="E71" s="6"/>
      <c r="F71" s="6"/>
      <c r="G71" s="6"/>
      <c r="H71" s="6"/>
      <c r="I71" s="6"/>
      <c r="J71" s="6"/>
      <c r="K71" s="6"/>
      <c r="L71" s="6"/>
    </row>
    <row r="72" spans="1:12" x14ac:dyDescent="0.25">
      <c r="A72" s="6"/>
      <c r="B72" s="16"/>
      <c r="C72" s="44"/>
      <c r="D72" s="6"/>
      <c r="E72" s="6"/>
      <c r="F72" s="6"/>
      <c r="G72" s="6"/>
      <c r="H72" s="6"/>
      <c r="I72" s="6"/>
      <c r="J72" s="6"/>
      <c r="K72" s="6"/>
      <c r="L72" s="6"/>
    </row>
    <row r="73" spans="1:12" x14ac:dyDescent="0.25">
      <c r="A73" s="6"/>
      <c r="B73" s="16"/>
      <c r="C73" s="44"/>
      <c r="D73" s="6"/>
      <c r="E73" s="6"/>
      <c r="F73" s="6"/>
      <c r="G73" s="6"/>
      <c r="H73" s="6"/>
      <c r="I73" s="6"/>
      <c r="J73" s="6"/>
      <c r="K73" s="6"/>
      <c r="L73" s="6"/>
    </row>
    <row r="74" spans="1:12" x14ac:dyDescent="0.25">
      <c r="A74" s="6"/>
      <c r="B74" s="10" t="s">
        <v>270</v>
      </c>
      <c r="C74" s="10"/>
      <c r="D74" s="6"/>
      <c r="E74" s="6"/>
      <c r="F74" s="6"/>
      <c r="G74" s="6"/>
      <c r="H74" s="6"/>
      <c r="I74" s="6"/>
      <c r="J74" s="6"/>
      <c r="K74" s="6"/>
      <c r="L74" s="6"/>
    </row>
    <row r="75" spans="1:12" x14ac:dyDescent="0.25">
      <c r="A75" s="6"/>
      <c r="B75" s="14" t="s">
        <v>129</v>
      </c>
      <c r="C75" s="20"/>
      <c r="D75" s="6"/>
      <c r="E75" s="6"/>
      <c r="F75" s="6"/>
      <c r="G75" s="6"/>
      <c r="H75" s="6"/>
      <c r="I75" s="6"/>
      <c r="J75" s="6"/>
      <c r="K75" s="6"/>
      <c r="L75" s="6"/>
    </row>
    <row r="76" spans="1:12" x14ac:dyDescent="0.25">
      <c r="A76" s="6"/>
      <c r="B76" s="45" t="s">
        <v>274</v>
      </c>
      <c r="C76" s="43"/>
      <c r="D76" s="6"/>
      <c r="E76" s="6"/>
      <c r="F76" s="6"/>
      <c r="G76" s="6"/>
      <c r="H76" s="6"/>
      <c r="I76" s="6"/>
      <c r="J76" s="6"/>
      <c r="K76" s="6"/>
      <c r="L76" s="6"/>
    </row>
    <row r="77" spans="1:12" x14ac:dyDescent="0.25">
      <c r="A77" s="6"/>
      <c r="B77" s="46" t="s">
        <v>275</v>
      </c>
      <c r="C77" s="43"/>
      <c r="D77" s="6"/>
      <c r="E77" s="6"/>
      <c r="F77" s="6"/>
      <c r="G77" s="6"/>
      <c r="H77" s="6"/>
      <c r="I77" s="6"/>
      <c r="J77" s="6"/>
      <c r="K77" s="6"/>
      <c r="L77" s="6"/>
    </row>
    <row r="78" spans="1:12" x14ac:dyDescent="0.25">
      <c r="A78" s="6"/>
      <c r="B78" s="16"/>
      <c r="C78" s="44"/>
      <c r="D78" s="6"/>
      <c r="E78" s="6"/>
      <c r="F78" s="6"/>
      <c r="G78" s="6"/>
      <c r="H78" s="6"/>
      <c r="I78" s="6"/>
      <c r="J78" s="6"/>
      <c r="K78" s="6"/>
      <c r="L78" s="6"/>
    </row>
    <row r="79" spans="1:12" x14ac:dyDescent="0.25">
      <c r="A79" s="6"/>
      <c r="B79" s="6"/>
      <c r="C79" s="6"/>
      <c r="D79" s="6"/>
      <c r="E79" s="6"/>
      <c r="F79" s="6"/>
      <c r="G79" s="6"/>
      <c r="H79" s="6"/>
      <c r="I79" s="6"/>
      <c r="J79" s="6"/>
      <c r="K79" s="6"/>
      <c r="L79" s="6"/>
    </row>
  </sheetData>
  <sheetProtection algorithmName="SHA-512" hashValue="jXlm0OyMe3a1+NEiVUGljElU3qfrWi/twF9Kg7xyI3exi/cAJn+Q5gJX48zG0wAF7llOX3oSamCnEPl+M1M5yg==" saltValue="KylDH9GuS4gtr/q/XZ/y6w==" spinCount="100000" sheet="1" objects="1" scenarios="1"/>
  <hyperlinks>
    <hyperlink ref="J29" r:id="rId1" xr:uid="{CB126D49-5578-4A57-9CDA-322FC5D0CE65}"/>
    <hyperlink ref="J31" r:id="rId2" xr:uid="{8A02B5F2-CF4D-4AA7-9355-AB3FB541B3FB}"/>
    <hyperlink ref="J30" r:id="rId3" xr:uid="{E9B3DA44-1B9A-48DE-94CA-D5F488463E93}"/>
    <hyperlink ref="J40" r:id="rId4" xr:uid="{02075A33-CBAB-4887-9353-28A2FDD175F5}"/>
    <hyperlink ref="J39" r:id="rId5" xr:uid="{F9B655D5-2552-4C95-9C87-5687BDF51856}"/>
    <hyperlink ref="J38" r:id="rId6" xr:uid="{5B4B08CB-8DE1-4680-A42D-4812E2AC543E}"/>
    <hyperlink ref="J32" r:id="rId7" xr:uid="{030D9E05-5912-4014-AC94-0997E5BAFD97}"/>
    <hyperlink ref="J41" r:id="rId8" xr:uid="{3D56D373-2FB2-4E0B-A71E-D6FCDFDDDCE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F00D-AE89-41A8-B614-61469DE794E1}">
  <sheetPr>
    <tabColor theme="0" tint="-0.499984740745262"/>
  </sheetPr>
  <dimension ref="A1:E81"/>
  <sheetViews>
    <sheetView zoomScaleNormal="100" zoomScaleSheetLayoutView="100" workbookViewId="0">
      <selection activeCell="C35" sqref="C35"/>
    </sheetView>
  </sheetViews>
  <sheetFormatPr baseColWidth="10" defaultColWidth="0" defaultRowHeight="15" zeroHeight="1" x14ac:dyDescent="0.25"/>
  <cols>
    <col min="1" max="1" width="1.42578125" customWidth="1"/>
    <col min="2" max="2" width="4.28515625" customWidth="1"/>
    <col min="3" max="3" width="100.140625" customWidth="1"/>
    <col min="4" max="4" width="4.28515625" customWidth="1"/>
    <col min="5" max="5" width="1.42578125" customWidth="1"/>
    <col min="6" max="16384" width="11.42578125" hidden="1"/>
  </cols>
  <sheetData>
    <row r="1" spans="1:5" ht="39" x14ac:dyDescent="0.25">
      <c r="A1" s="5"/>
      <c r="B1" s="5"/>
      <c r="C1" s="33" t="s">
        <v>16</v>
      </c>
      <c r="D1" s="5"/>
      <c r="E1" s="5"/>
    </row>
    <row r="2" spans="1:5" x14ac:dyDescent="0.25">
      <c r="A2" s="5"/>
      <c r="B2" s="6"/>
      <c r="C2" s="6"/>
      <c r="D2" s="6"/>
      <c r="E2" s="5"/>
    </row>
    <row r="3" spans="1:5" x14ac:dyDescent="0.25">
      <c r="A3" s="5"/>
      <c r="B3" s="6"/>
      <c r="C3" s="6"/>
      <c r="D3" s="6"/>
      <c r="E3" s="5"/>
    </row>
    <row r="4" spans="1:5" ht="24" x14ac:dyDescent="0.25">
      <c r="A4" s="5"/>
      <c r="B4" s="6"/>
      <c r="C4" s="28" t="s">
        <v>17</v>
      </c>
      <c r="D4" s="6"/>
      <c r="E4" s="5"/>
    </row>
    <row r="5" spans="1:5" x14ac:dyDescent="0.25">
      <c r="A5" s="5"/>
      <c r="B5" s="6"/>
      <c r="C5" s="38" t="s">
        <v>18</v>
      </c>
      <c r="D5" s="6"/>
      <c r="E5" s="5"/>
    </row>
    <row r="6" spans="1:5" ht="30" x14ac:dyDescent="0.25">
      <c r="A6" s="5"/>
      <c r="B6" s="6"/>
      <c r="C6" s="41" t="s">
        <v>19</v>
      </c>
      <c r="D6" s="6"/>
      <c r="E6" s="5"/>
    </row>
    <row r="7" spans="1:5" x14ac:dyDescent="0.25">
      <c r="A7" s="5"/>
      <c r="B7" s="6"/>
      <c r="C7" s="41"/>
      <c r="D7" s="6"/>
      <c r="E7" s="5"/>
    </row>
    <row r="8" spans="1:5" x14ac:dyDescent="0.25">
      <c r="A8" s="5"/>
      <c r="B8" s="6"/>
      <c r="C8" s="38" t="s">
        <v>20</v>
      </c>
      <c r="D8" s="6"/>
      <c r="E8" s="5"/>
    </row>
    <row r="9" spans="1:5" ht="60" x14ac:dyDescent="0.25">
      <c r="A9" s="5"/>
      <c r="B9" s="6"/>
      <c r="C9" s="41" t="s">
        <v>21</v>
      </c>
      <c r="D9" s="6"/>
      <c r="E9" s="5"/>
    </row>
    <row r="10" spans="1:5" x14ac:dyDescent="0.25">
      <c r="A10" s="5"/>
      <c r="B10" s="6"/>
      <c r="C10" s="37"/>
      <c r="D10" s="6"/>
      <c r="E10" s="5"/>
    </row>
    <row r="11" spans="1:5" x14ac:dyDescent="0.25">
      <c r="A11" s="5"/>
      <c r="B11" s="6"/>
      <c r="C11" s="38" t="s">
        <v>22</v>
      </c>
      <c r="D11" s="6"/>
      <c r="E11" s="5"/>
    </row>
    <row r="12" spans="1:5" ht="30" x14ac:dyDescent="0.25">
      <c r="A12" s="5"/>
      <c r="B12" s="6"/>
      <c r="C12" s="41" t="s">
        <v>23</v>
      </c>
      <c r="D12" s="6"/>
      <c r="E12" s="5"/>
    </row>
    <row r="13" spans="1:5" x14ac:dyDescent="0.25">
      <c r="A13" s="5"/>
      <c r="B13" s="6"/>
      <c r="C13" s="40" t="s">
        <v>24</v>
      </c>
      <c r="D13" s="6"/>
      <c r="E13" s="5"/>
    </row>
    <row r="14" spans="1:5" x14ac:dyDescent="0.25">
      <c r="A14" s="5"/>
      <c r="B14" s="6"/>
      <c r="C14" s="37"/>
      <c r="D14" s="6"/>
      <c r="E14" s="5"/>
    </row>
    <row r="15" spans="1:5" x14ac:dyDescent="0.25">
      <c r="A15" s="5"/>
      <c r="B15" s="6"/>
      <c r="C15" s="37" t="s">
        <v>25</v>
      </c>
      <c r="D15" s="6"/>
      <c r="E15" s="5"/>
    </row>
    <row r="16" spans="1:5" ht="60" x14ac:dyDescent="0.25">
      <c r="A16" s="5"/>
      <c r="B16" s="6"/>
      <c r="C16" s="41" t="s">
        <v>26</v>
      </c>
      <c r="D16" s="6"/>
      <c r="E16" s="5"/>
    </row>
    <row r="17" spans="1:5" ht="45" x14ac:dyDescent="0.25">
      <c r="A17" s="5"/>
      <c r="B17" s="6"/>
      <c r="C17" s="41" t="s">
        <v>27</v>
      </c>
      <c r="D17" s="6"/>
      <c r="E17" s="5"/>
    </row>
    <row r="18" spans="1:5" ht="34.5" customHeight="1" x14ac:dyDescent="0.25">
      <c r="A18" s="5"/>
      <c r="B18" s="6"/>
      <c r="C18" s="41" t="s">
        <v>28</v>
      </c>
      <c r="D18" s="6"/>
      <c r="E18" s="5"/>
    </row>
    <row r="19" spans="1:5" x14ac:dyDescent="0.25">
      <c r="A19" s="5"/>
      <c r="B19" s="6"/>
      <c r="C19" s="39"/>
      <c r="D19" s="6"/>
      <c r="E19" s="5"/>
    </row>
    <row r="20" spans="1:5" x14ac:dyDescent="0.25">
      <c r="A20" s="5"/>
      <c r="B20" s="6"/>
      <c r="C20" s="37" t="s">
        <v>29</v>
      </c>
      <c r="D20" s="6"/>
      <c r="E20" s="5"/>
    </row>
    <row r="21" spans="1:5" ht="60" x14ac:dyDescent="0.25">
      <c r="A21" s="5"/>
      <c r="B21" s="6"/>
      <c r="C21" s="39" t="s">
        <v>30</v>
      </c>
      <c r="D21" s="6"/>
      <c r="E21" s="5"/>
    </row>
    <row r="22" spans="1:5" x14ac:dyDescent="0.25">
      <c r="A22" s="5"/>
      <c r="B22" s="6"/>
      <c r="C22" s="39" t="s">
        <v>31</v>
      </c>
      <c r="D22" s="6"/>
      <c r="E22" s="5"/>
    </row>
    <row r="23" spans="1:5" x14ac:dyDescent="0.25">
      <c r="A23" s="5"/>
      <c r="B23" s="6"/>
      <c r="C23" s="37"/>
      <c r="D23" s="6"/>
      <c r="E23" s="5"/>
    </row>
    <row r="24" spans="1:5" ht="24" x14ac:dyDescent="0.25">
      <c r="A24" s="5"/>
      <c r="B24" s="6"/>
      <c r="C24" s="28" t="s">
        <v>32</v>
      </c>
      <c r="D24" s="6"/>
      <c r="E24" s="5"/>
    </row>
    <row r="25" spans="1:5" x14ac:dyDescent="0.25">
      <c r="A25" s="5"/>
      <c r="B25" s="6"/>
      <c r="C25" s="6"/>
      <c r="D25" s="6"/>
      <c r="E25" s="5"/>
    </row>
    <row r="26" spans="1:5" x14ac:dyDescent="0.25">
      <c r="A26" s="5"/>
      <c r="B26" s="6"/>
      <c r="C26" s="38" t="s">
        <v>33</v>
      </c>
      <c r="D26" s="6"/>
      <c r="E26" s="5"/>
    </row>
    <row r="27" spans="1:5" ht="30" x14ac:dyDescent="0.25">
      <c r="A27" s="5"/>
      <c r="B27" s="6"/>
      <c r="C27" s="39" t="s">
        <v>34</v>
      </c>
      <c r="D27" s="6"/>
      <c r="E27" s="5"/>
    </row>
    <row r="28" spans="1:5" x14ac:dyDescent="0.25">
      <c r="A28" s="5"/>
      <c r="B28" s="6"/>
      <c r="C28" s="6"/>
      <c r="D28" s="6"/>
      <c r="E28" s="5"/>
    </row>
    <row r="29" spans="1:5" ht="24" x14ac:dyDescent="0.25">
      <c r="A29" s="5"/>
      <c r="B29" s="6"/>
      <c r="C29" s="28" t="s">
        <v>35</v>
      </c>
      <c r="D29" s="6"/>
      <c r="E29" s="5"/>
    </row>
    <row r="30" spans="1:5" x14ac:dyDescent="0.25">
      <c r="A30" s="5"/>
      <c r="B30" s="6"/>
      <c r="C30" s="6"/>
      <c r="D30" s="6"/>
      <c r="E30" s="5"/>
    </row>
    <row r="31" spans="1:5" x14ac:dyDescent="0.25">
      <c r="A31" s="5"/>
      <c r="B31" s="6"/>
      <c r="C31" s="38" t="s">
        <v>36</v>
      </c>
      <c r="D31" s="6"/>
      <c r="E31" s="5"/>
    </row>
    <row r="32" spans="1:5" ht="45" customHeight="1" x14ac:dyDescent="0.25">
      <c r="A32" s="5"/>
      <c r="B32" s="6"/>
      <c r="C32" s="39" t="s">
        <v>283</v>
      </c>
      <c r="D32" s="6"/>
      <c r="E32" s="5"/>
    </row>
    <row r="33" spans="1:5" ht="30" x14ac:dyDescent="0.25">
      <c r="A33" s="5"/>
      <c r="B33" s="6"/>
      <c r="C33" s="39" t="s">
        <v>291</v>
      </c>
      <c r="D33" s="6"/>
      <c r="E33" s="5"/>
    </row>
    <row r="34" spans="1:5" x14ac:dyDescent="0.25">
      <c r="A34" s="5"/>
      <c r="B34" s="6"/>
      <c r="C34" s="39"/>
      <c r="D34" s="6"/>
      <c r="E34" s="5"/>
    </row>
    <row r="35" spans="1:5" ht="24" x14ac:dyDescent="0.25">
      <c r="A35" s="5"/>
      <c r="B35" s="6"/>
      <c r="C35" s="28" t="s">
        <v>37</v>
      </c>
      <c r="D35" s="6"/>
      <c r="E35" s="5"/>
    </row>
    <row r="36" spans="1:5" x14ac:dyDescent="0.25">
      <c r="A36" s="5"/>
      <c r="B36" s="6"/>
      <c r="C36" s="6"/>
      <c r="D36" s="6"/>
      <c r="E36" s="5"/>
    </row>
    <row r="37" spans="1:5" x14ac:dyDescent="0.25">
      <c r="A37" s="5"/>
      <c r="B37" s="6"/>
      <c r="C37" s="38" t="s">
        <v>38</v>
      </c>
      <c r="D37" s="6"/>
      <c r="E37" s="5"/>
    </row>
    <row r="38" spans="1:5" ht="30" x14ac:dyDescent="0.25">
      <c r="A38" s="5"/>
      <c r="B38" s="6"/>
      <c r="C38" s="39" t="s">
        <v>39</v>
      </c>
      <c r="D38" s="6"/>
      <c r="E38" s="5"/>
    </row>
    <row r="39" spans="1:5" x14ac:dyDescent="0.25">
      <c r="A39" s="5"/>
      <c r="B39" s="6"/>
      <c r="C39" s="39"/>
      <c r="D39" s="6"/>
      <c r="E39" s="5"/>
    </row>
    <row r="40" spans="1:5" x14ac:dyDescent="0.25">
      <c r="A40" s="5"/>
      <c r="B40" s="6"/>
      <c r="C40" s="38" t="s">
        <v>40</v>
      </c>
      <c r="D40" s="6"/>
      <c r="E40" s="5"/>
    </row>
    <row r="41" spans="1:5" ht="30" x14ac:dyDescent="0.25">
      <c r="A41" s="5"/>
      <c r="B41" s="6"/>
      <c r="C41" s="39" t="s">
        <v>41</v>
      </c>
      <c r="D41" s="6"/>
      <c r="E41" s="5"/>
    </row>
    <row r="42" spans="1:5" x14ac:dyDescent="0.25">
      <c r="A42" s="5"/>
      <c r="B42" s="6"/>
      <c r="C42" s="39"/>
      <c r="D42" s="6"/>
      <c r="E42" s="5"/>
    </row>
    <row r="43" spans="1:5" x14ac:dyDescent="0.25">
      <c r="A43" s="5"/>
      <c r="B43" s="6"/>
      <c r="C43" s="6"/>
      <c r="D43" s="6"/>
      <c r="E43" s="5"/>
    </row>
    <row r="44" spans="1:5" ht="24" x14ac:dyDescent="0.25">
      <c r="A44" s="5"/>
      <c r="B44" s="6"/>
      <c r="C44" s="28" t="s">
        <v>42</v>
      </c>
      <c r="D44" s="6"/>
      <c r="E44" s="5"/>
    </row>
    <row r="45" spans="1:5" x14ac:dyDescent="0.25">
      <c r="A45" s="5"/>
      <c r="B45" s="6"/>
      <c r="C45" s="6"/>
      <c r="D45" s="6"/>
      <c r="E45" s="5"/>
    </row>
    <row r="46" spans="1:5" x14ac:dyDescent="0.25">
      <c r="A46" s="5"/>
      <c r="B46" s="6"/>
      <c r="C46" s="38" t="s">
        <v>43</v>
      </c>
      <c r="D46" s="6"/>
      <c r="E46" s="5"/>
    </row>
    <row r="47" spans="1:5" x14ac:dyDescent="0.25">
      <c r="A47" s="5"/>
      <c r="B47" s="6"/>
      <c r="C47" s="39" t="s">
        <v>44</v>
      </c>
      <c r="D47" s="6"/>
      <c r="E47" s="5"/>
    </row>
    <row r="48" spans="1:5" x14ac:dyDescent="0.25">
      <c r="A48" s="5"/>
      <c r="B48" s="6"/>
      <c r="C48" s="39" t="s">
        <v>45</v>
      </c>
      <c r="D48" s="6"/>
      <c r="E48" s="5"/>
    </row>
    <row r="49" spans="1:5" x14ac:dyDescent="0.25">
      <c r="A49" s="5"/>
      <c r="B49" s="6"/>
      <c r="C49" s="39"/>
      <c r="D49" s="6"/>
      <c r="E49" s="5"/>
    </row>
    <row r="50" spans="1:5" x14ac:dyDescent="0.25">
      <c r="A50" s="5"/>
      <c r="B50" s="6"/>
      <c r="C50" s="42" t="s">
        <v>46</v>
      </c>
      <c r="D50" s="6"/>
      <c r="E50" s="5"/>
    </row>
    <row r="51" spans="1:5" x14ac:dyDescent="0.25">
      <c r="A51" s="5"/>
      <c r="B51" s="6"/>
      <c r="C51" s="39" t="s">
        <v>47</v>
      </c>
      <c r="D51" s="6"/>
      <c r="E51" s="5"/>
    </row>
    <row r="52" spans="1:5" x14ac:dyDescent="0.25">
      <c r="A52" s="5"/>
      <c r="B52" s="6"/>
      <c r="C52" s="42"/>
      <c r="D52" s="6"/>
      <c r="E52" s="5"/>
    </row>
    <row r="53" spans="1:5" x14ac:dyDescent="0.25">
      <c r="A53" s="5"/>
      <c r="B53" s="6"/>
      <c r="C53" s="42" t="s">
        <v>48</v>
      </c>
      <c r="D53" s="6"/>
      <c r="E53" s="5"/>
    </row>
    <row r="54" spans="1:5" x14ac:dyDescent="0.25">
      <c r="A54" s="5"/>
      <c r="B54" s="6"/>
      <c r="C54" s="39" t="s">
        <v>49</v>
      </c>
      <c r="D54" s="6"/>
      <c r="E54" s="5"/>
    </row>
    <row r="55" spans="1:5" x14ac:dyDescent="0.25">
      <c r="A55" s="5"/>
      <c r="B55" s="6"/>
      <c r="C55" s="39" t="s">
        <v>50</v>
      </c>
      <c r="D55" s="6"/>
      <c r="E55" s="5"/>
    </row>
    <row r="56" spans="1:5" x14ac:dyDescent="0.25">
      <c r="A56" s="5"/>
      <c r="B56" s="6"/>
      <c r="C56" s="6"/>
      <c r="D56" s="6"/>
      <c r="E56" s="5"/>
    </row>
    <row r="57" spans="1:5" x14ac:dyDescent="0.25">
      <c r="A57" s="5"/>
      <c r="B57" s="6"/>
      <c r="C57" s="38" t="s">
        <v>51</v>
      </c>
      <c r="D57" s="6"/>
      <c r="E57" s="5"/>
    </row>
    <row r="58" spans="1:5" ht="45" x14ac:dyDescent="0.25">
      <c r="A58" s="5"/>
      <c r="B58" s="6"/>
      <c r="C58" s="39" t="s">
        <v>52</v>
      </c>
      <c r="D58" s="6"/>
      <c r="E58" s="5"/>
    </row>
    <row r="59" spans="1:5" x14ac:dyDescent="0.25">
      <c r="A59" s="5"/>
      <c r="B59" s="6"/>
      <c r="C59" s="6"/>
      <c r="D59" s="6"/>
      <c r="E59" s="5"/>
    </row>
    <row r="60" spans="1:5" ht="24" x14ac:dyDescent="0.25">
      <c r="A60" s="5"/>
      <c r="B60" s="6"/>
      <c r="C60" s="28" t="s">
        <v>53</v>
      </c>
      <c r="D60" s="6"/>
      <c r="E60" s="5"/>
    </row>
    <row r="61" spans="1:5" x14ac:dyDescent="0.25">
      <c r="A61" s="5"/>
      <c r="B61" s="6"/>
      <c r="C61" s="6"/>
      <c r="D61" s="6"/>
      <c r="E61" s="5"/>
    </row>
    <row r="62" spans="1:5" x14ac:dyDescent="0.25">
      <c r="A62" s="5"/>
      <c r="B62" s="6"/>
      <c r="C62" s="38" t="s">
        <v>54</v>
      </c>
      <c r="D62" s="6"/>
      <c r="E62" s="5"/>
    </row>
    <row r="63" spans="1:5" ht="30" x14ac:dyDescent="0.25">
      <c r="A63" s="5"/>
      <c r="B63" s="6"/>
      <c r="C63" s="39" t="s">
        <v>55</v>
      </c>
      <c r="D63" s="6"/>
      <c r="E63" s="5"/>
    </row>
    <row r="64" spans="1:5" ht="7.5" customHeight="1" x14ac:dyDescent="0.25">
      <c r="A64" s="5"/>
      <c r="B64" s="6"/>
      <c r="C64" s="39"/>
      <c r="D64" s="6"/>
      <c r="E64" s="5"/>
    </row>
    <row r="65" spans="1:5" ht="30" x14ac:dyDescent="0.25">
      <c r="A65" s="5"/>
      <c r="B65" s="6"/>
      <c r="C65" s="39" t="s">
        <v>56</v>
      </c>
      <c r="D65" s="6"/>
      <c r="E65" s="5"/>
    </row>
    <row r="66" spans="1:5" ht="7.5" customHeight="1" x14ac:dyDescent="0.25">
      <c r="A66" s="5"/>
      <c r="B66" s="6"/>
      <c r="C66" s="39"/>
      <c r="D66" s="6"/>
      <c r="E66" s="5"/>
    </row>
    <row r="67" spans="1:5" ht="45" x14ac:dyDescent="0.25">
      <c r="A67" s="5"/>
      <c r="B67" s="6"/>
      <c r="C67" s="39" t="s">
        <v>57</v>
      </c>
      <c r="D67" s="6"/>
      <c r="E67" s="5"/>
    </row>
    <row r="68" spans="1:5" x14ac:dyDescent="0.25">
      <c r="A68" s="5"/>
      <c r="B68" s="6"/>
      <c r="C68" s="39"/>
      <c r="D68" s="6"/>
      <c r="E68" s="5"/>
    </row>
    <row r="69" spans="1:5" x14ac:dyDescent="0.25">
      <c r="A69" s="5"/>
      <c r="B69" s="6"/>
      <c r="C69" s="38" t="s">
        <v>58</v>
      </c>
      <c r="D69" s="6"/>
      <c r="E69" s="5"/>
    </row>
    <row r="70" spans="1:5" ht="30" x14ac:dyDescent="0.25">
      <c r="A70" s="5"/>
      <c r="B70" s="6"/>
      <c r="C70" s="54" t="s">
        <v>59</v>
      </c>
      <c r="D70" s="6"/>
      <c r="E70" s="5"/>
    </row>
    <row r="71" spans="1:5" x14ac:dyDescent="0.25">
      <c r="A71" s="5"/>
      <c r="B71" s="6"/>
      <c r="C71" s="39"/>
      <c r="D71" s="6"/>
      <c r="E71" s="5"/>
    </row>
    <row r="72" spans="1:5" x14ac:dyDescent="0.25">
      <c r="A72" s="5"/>
      <c r="B72" s="6"/>
      <c r="C72" s="38" t="s">
        <v>60</v>
      </c>
      <c r="D72" s="6"/>
      <c r="E72" s="5"/>
    </row>
    <row r="73" spans="1:5" x14ac:dyDescent="0.25">
      <c r="A73" s="5"/>
      <c r="B73" s="6"/>
      <c r="C73" s="54" t="s">
        <v>61</v>
      </c>
      <c r="D73" s="6"/>
      <c r="E73" s="5"/>
    </row>
    <row r="74" spans="1:5" x14ac:dyDescent="0.25">
      <c r="A74" s="5"/>
      <c r="B74" s="6"/>
      <c r="C74" s="48"/>
      <c r="D74" s="6"/>
      <c r="E74" s="5"/>
    </row>
    <row r="75" spans="1:5" ht="31.5" x14ac:dyDescent="0.25">
      <c r="A75" s="5"/>
      <c r="B75" s="6"/>
      <c r="C75" s="36" t="e" vm="1">
        <v>#VALUE!</v>
      </c>
      <c r="D75" s="35"/>
      <c r="E75" s="5"/>
    </row>
    <row r="76" spans="1:5" x14ac:dyDescent="0.25">
      <c r="A76" s="5"/>
      <c r="B76" s="6"/>
      <c r="C76" s="6"/>
      <c r="D76" s="6"/>
      <c r="E76" s="5"/>
    </row>
    <row r="77" spans="1:5" x14ac:dyDescent="0.25">
      <c r="A77" s="5"/>
      <c r="B77" s="5"/>
      <c r="C77" s="5"/>
      <c r="D77" s="5"/>
      <c r="E77" s="5"/>
    </row>
    <row r="81" spans="3:3" hidden="1" x14ac:dyDescent="0.25">
      <c r="C81" s="55"/>
    </row>
  </sheetData>
  <sheetProtection algorithmName="SHA-512" hashValue="b6ZFv+GOWrYQyzDagfDUjYpKuI3wN8WcSKAcs67VJyUNcfNstzQV37MaAkdwZt+M8DCDwxG4UTApOBuhZ2snww==" saltValue="ktTLoJnwBm4flCA0250eWw==" spinCount="100000" sheet="1" selectLockedCells="1" selectUnlockedCells="1"/>
  <hyperlinks>
    <hyperlink ref="C13" r:id="rId1" xr:uid="{EB88C23D-C32A-44F4-A70C-6B7EA3594A3E}"/>
  </hyperlinks>
  <pageMargins left="0.70866141732283472" right="0.70866141732283472" top="0.74803149606299213" bottom="0.74803149606299213" header="0.31496062992125984" footer="0.31496062992125984"/>
  <pageSetup paperSize="9" orientation="portrait"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0869F-E0A2-4883-BC6A-C1B71C6E1838}">
  <sheetPr>
    <tabColor theme="1"/>
    <pageSetUpPr fitToPage="1"/>
  </sheetPr>
  <dimension ref="A1:J42"/>
  <sheetViews>
    <sheetView zoomScaleNormal="100" workbookViewId="0"/>
  </sheetViews>
  <sheetFormatPr baseColWidth="10" defaultColWidth="0" defaultRowHeight="15" zeroHeight="1" outlineLevelRow="1" x14ac:dyDescent="0.25"/>
  <cols>
    <col min="1" max="1" width="1.42578125" customWidth="1"/>
    <col min="2" max="2" width="4.28515625" style="57" customWidth="1"/>
    <col min="3" max="4" width="5.140625" style="57" customWidth="1"/>
    <col min="5" max="5" width="46.28515625" style="57" customWidth="1"/>
    <col min="6" max="6" width="18" style="57" customWidth="1"/>
    <col min="7" max="7" width="18.28515625" style="57" bestFit="1" customWidth="1"/>
    <col min="8" max="8" width="3.42578125" style="57" customWidth="1"/>
    <col min="9" max="9" width="4.28515625" style="57" customWidth="1"/>
    <col min="10" max="10" width="1.42578125" style="57" customWidth="1"/>
    <col min="11" max="16384" width="11.42578125" hidden="1"/>
  </cols>
  <sheetData>
    <row r="1" spans="1:10" s="127" customFormat="1" ht="39" x14ac:dyDescent="0.25">
      <c r="A1" s="121"/>
      <c r="B1" s="579"/>
      <c r="C1" s="580" t="s">
        <v>10</v>
      </c>
      <c r="D1" s="580"/>
      <c r="E1" s="580"/>
      <c r="F1" s="581"/>
      <c r="G1" s="582"/>
      <c r="H1" s="582"/>
      <c r="I1" s="579"/>
      <c r="J1" s="579"/>
    </row>
    <row r="2" spans="1:10" s="127" customFormat="1" x14ac:dyDescent="0.25">
      <c r="A2" s="121"/>
      <c r="B2" s="583"/>
      <c r="C2" s="583"/>
      <c r="D2" s="583"/>
      <c r="E2" s="583"/>
      <c r="F2" s="583"/>
      <c r="G2" s="583"/>
      <c r="H2" s="583"/>
      <c r="I2" s="583"/>
      <c r="J2" s="579"/>
    </row>
    <row r="3" spans="1:10" s="127" customFormat="1" x14ac:dyDescent="0.25">
      <c r="A3" s="121"/>
      <c r="B3" s="583"/>
      <c r="C3" s="583"/>
      <c r="D3" s="583"/>
      <c r="E3" s="583"/>
      <c r="F3" s="583"/>
      <c r="G3" s="583"/>
      <c r="H3" s="583"/>
      <c r="I3" s="583"/>
      <c r="J3" s="579"/>
    </row>
    <row r="4" spans="1:10" s="127" customFormat="1" ht="21" x14ac:dyDescent="0.35">
      <c r="A4" s="343"/>
      <c r="B4" s="584"/>
      <c r="C4" s="585" t="s">
        <v>62</v>
      </c>
      <c r="D4" s="586"/>
      <c r="E4" s="586"/>
      <c r="F4" s="586"/>
      <c r="G4" s="587">
        <f>G6+G13+G20+G33+G27+G37</f>
        <v>0</v>
      </c>
      <c r="H4" s="583"/>
      <c r="I4" s="583"/>
      <c r="J4" s="588"/>
    </row>
    <row r="5" spans="1:10" s="127" customFormat="1" x14ac:dyDescent="0.25">
      <c r="A5" s="121"/>
      <c r="B5" s="583"/>
      <c r="C5" s="164"/>
      <c r="D5" s="164"/>
      <c r="E5" s="164"/>
      <c r="F5" s="164"/>
      <c r="G5" s="589"/>
      <c r="H5" s="583"/>
      <c r="I5" s="583"/>
      <c r="J5" s="579"/>
    </row>
    <row r="6" spans="1:10" s="127" customFormat="1" ht="15.75" x14ac:dyDescent="0.25">
      <c r="A6" s="121"/>
      <c r="B6" s="583"/>
      <c r="C6" s="590">
        <f>'1 Lønn'!C2</f>
        <v>1</v>
      </c>
      <c r="D6" s="591" t="str">
        <f>'1 Lønn'!E2</f>
        <v xml:space="preserve">Lønn </v>
      </c>
      <c r="E6" s="592"/>
      <c r="F6" s="592"/>
      <c r="G6" s="593">
        <f>SUM(G7:G11)</f>
        <v>0</v>
      </c>
      <c r="H6" s="594"/>
      <c r="I6" s="583"/>
      <c r="J6" s="579"/>
    </row>
    <row r="7" spans="1:10" s="127" customFormat="1" ht="15.75" hidden="1" outlineLevel="1" x14ac:dyDescent="0.25">
      <c r="A7" s="121"/>
      <c r="B7" s="583"/>
      <c r="C7" s="595"/>
      <c r="D7" s="596">
        <v>1</v>
      </c>
      <c r="E7" s="597" t="str">
        <f>IF(_xlfn.XLOOKUP(D7&amp;"a",'1 Lønn'!P:P,'1 Lønn'!F:F,"-")=0,"-",_xlfn.XLOOKUP(D7&amp;"a",'1 Lønn'!P:P,'1 Lønn'!F:F,"-"))</f>
        <v>-</v>
      </c>
      <c r="F7" s="597" t="str">
        <f>IF(_xlfn.XLOOKUP(D7&amp;"b",'1 Lønn'!P:P,'1 Lønn'!F:F,"-")=0,"-",_xlfn.XLOOKUP(D7&amp;"b",'1 Lønn'!P:P,'1 Lønn'!F:F,"-"))</f>
        <v>-</v>
      </c>
      <c r="G7" s="598" t="str">
        <f>_xlfn.XLOOKUP(D7&amp;"c",'1 Lønn'!P:P,'1 Lønn'!F:F," ")</f>
        <v/>
      </c>
      <c r="H7" s="599"/>
      <c r="I7" s="583"/>
      <c r="J7" s="579"/>
    </row>
    <row r="8" spans="1:10" s="127" customFormat="1" ht="15.75" hidden="1" outlineLevel="1" x14ac:dyDescent="0.25">
      <c r="A8" s="121"/>
      <c r="B8" s="583"/>
      <c r="C8" s="595"/>
      <c r="D8" s="600">
        <v>2</v>
      </c>
      <c r="E8" s="597" t="str">
        <f>IF(_xlfn.XLOOKUP(D8&amp;"a",'1 Lønn'!P:P,'1 Lønn'!F:F,"-")=0,"-",_xlfn.XLOOKUP(D8&amp;"a",'1 Lønn'!P:P,'1 Lønn'!F:F,"-"))</f>
        <v>-</v>
      </c>
      <c r="F8" s="597" t="str">
        <f>IF(_xlfn.XLOOKUP(D8&amp;"b",'1 Lønn'!P:P,'1 Lønn'!F:F,"-")=0,"-",_xlfn.XLOOKUP(D8&amp;"b",'1 Lønn'!P:P,'1 Lønn'!F:F,"-"))</f>
        <v>-</v>
      </c>
      <c r="G8" s="598" t="str">
        <f>_xlfn.XLOOKUP(D8&amp;"c",'1 Lønn'!P:P,'1 Lønn'!F:F," ")</f>
        <v/>
      </c>
      <c r="H8" s="599"/>
      <c r="I8" s="583"/>
      <c r="J8" s="579"/>
    </row>
    <row r="9" spans="1:10" s="127" customFormat="1" ht="15.75" hidden="1" outlineLevel="1" x14ac:dyDescent="0.25">
      <c r="A9" s="121"/>
      <c r="B9" s="583"/>
      <c r="C9" s="595"/>
      <c r="D9" s="600">
        <v>3</v>
      </c>
      <c r="E9" s="597" t="str">
        <f>IF(_xlfn.XLOOKUP(D9&amp;"a",'1 Lønn'!P:P,'1 Lønn'!F:F,"-")=0,"-",_xlfn.XLOOKUP(D9&amp;"a",'1 Lønn'!P:P,'1 Lønn'!F:F,"-"))</f>
        <v>-</v>
      </c>
      <c r="F9" s="597" t="str">
        <f>IF(_xlfn.XLOOKUP(D9&amp;"b",'1 Lønn'!P:P,'1 Lønn'!F:F,"-")=0,"-",_xlfn.XLOOKUP(D9&amp;"b",'1 Lønn'!P:P,'1 Lønn'!F:F,"-"))</f>
        <v>-</v>
      </c>
      <c r="G9" s="598" t="str">
        <f>_xlfn.XLOOKUP(D9&amp;"c",'1 Lønn'!P:P,'1 Lønn'!F:F," ")</f>
        <v/>
      </c>
      <c r="H9" s="599"/>
      <c r="I9" s="583"/>
      <c r="J9" s="579"/>
    </row>
    <row r="10" spans="1:10" s="127" customFormat="1" ht="15.75" hidden="1" outlineLevel="1" x14ac:dyDescent="0.25">
      <c r="A10" s="121"/>
      <c r="B10" s="583"/>
      <c r="C10" s="595"/>
      <c r="D10" s="600">
        <v>4</v>
      </c>
      <c r="E10" s="597" t="str">
        <f>IF(_xlfn.XLOOKUP(D10&amp;"a",'1 Lønn'!P:P,'1 Lønn'!F:F,"-")=0,"-",_xlfn.XLOOKUP(D10&amp;"a",'1 Lønn'!P:P,'1 Lønn'!F:F,"-"))</f>
        <v>-</v>
      </c>
      <c r="F10" s="597" t="str">
        <f>IF(_xlfn.XLOOKUP(D10&amp;"b",'1 Lønn'!P:P,'1 Lønn'!F:F,"-")=0,"-",_xlfn.XLOOKUP(D10&amp;"b",'1 Lønn'!P:P,'1 Lønn'!F:F,"-"))</f>
        <v>-</v>
      </c>
      <c r="G10" s="598" t="str">
        <f>_xlfn.XLOOKUP(D10&amp;"c",'1 Lønn'!P:P,'1 Lønn'!F:F," ")</f>
        <v/>
      </c>
      <c r="H10" s="599"/>
      <c r="I10" s="583"/>
      <c r="J10" s="579"/>
    </row>
    <row r="11" spans="1:10" s="127" customFormat="1" ht="15.75" hidden="1" outlineLevel="1" x14ac:dyDescent="0.25">
      <c r="A11" s="121"/>
      <c r="B11" s="583"/>
      <c r="C11" s="595"/>
      <c r="D11" s="600">
        <v>5</v>
      </c>
      <c r="E11" s="597" t="str">
        <f>IF(_xlfn.XLOOKUP(D11&amp;"a",'1 Lønn'!P:P,'1 Lønn'!F:F,"-")=0,"-",_xlfn.XLOOKUP(D11&amp;"a",'1 Lønn'!P:P,'1 Lønn'!F:F,"-"))</f>
        <v>-</v>
      </c>
      <c r="F11" s="597" t="str">
        <f>IF(_xlfn.XLOOKUP(D11&amp;"b",'1 Lønn'!P:P,'1 Lønn'!F:F,"-")=0,"-",_xlfn.XLOOKUP(D11&amp;"b",'1 Lønn'!P:P,'1 Lønn'!F:F,"-"))</f>
        <v>-</v>
      </c>
      <c r="G11" s="598" t="str">
        <f>_xlfn.XLOOKUP(D11&amp;"c",'1 Lønn'!P:P,'1 Lønn'!F:F," ")</f>
        <v/>
      </c>
      <c r="H11" s="599"/>
      <c r="I11" s="583"/>
      <c r="J11" s="579"/>
    </row>
    <row r="12" spans="1:10" s="127" customFormat="1" ht="15.75" collapsed="1" x14ac:dyDescent="0.25">
      <c r="A12" s="121"/>
      <c r="B12" s="583"/>
      <c r="C12" s="164"/>
      <c r="D12" s="601"/>
      <c r="E12" s="601"/>
      <c r="F12" s="601"/>
      <c r="G12" s="602"/>
      <c r="H12" s="583"/>
      <c r="I12" s="583"/>
      <c r="J12" s="579"/>
    </row>
    <row r="13" spans="1:10" s="127" customFormat="1" ht="15.75" x14ac:dyDescent="0.25">
      <c r="A13" s="121"/>
      <c r="B13" s="583"/>
      <c r="C13" s="590">
        <f>'2 Lønn med undervisningstid'!C2</f>
        <v>2</v>
      </c>
      <c r="D13" s="591" t="str">
        <f>'2 Lønn med undervisningstid'!E2</f>
        <v>Lønn med undervisningstid</v>
      </c>
      <c r="E13" s="592"/>
      <c r="F13" s="592"/>
      <c r="G13" s="593">
        <f>SUM(G14:G18)</f>
        <v>0</v>
      </c>
      <c r="H13" s="594"/>
      <c r="I13" s="583"/>
      <c r="J13" s="579"/>
    </row>
    <row r="14" spans="1:10" s="127" customFormat="1" ht="15.75" hidden="1" outlineLevel="1" x14ac:dyDescent="0.25">
      <c r="A14" s="121"/>
      <c r="B14" s="583"/>
      <c r="C14" s="595"/>
      <c r="D14" s="596">
        <v>1</v>
      </c>
      <c r="E14" s="597" t="str">
        <f>IF(_xlfn.XLOOKUP(D14&amp;"a",'2 Lønn med undervisningstid'!P:P,'2 Lønn med undervisningstid'!F:F,"-")=0,"-",_xlfn.XLOOKUP(D14&amp;"a",'2 Lønn med undervisningstid'!P:P,'2 Lønn med undervisningstid'!F:F,"-"))</f>
        <v>-</v>
      </c>
      <c r="F14" s="597" t="str">
        <f>IF(_xlfn.XLOOKUP(D14&amp;"b",'2 Lønn med undervisningstid'!P:P,'2 Lønn med undervisningstid'!F:F,"-")=0,"-",_xlfn.XLOOKUP(D14&amp;"b",'2 Lønn med undervisningstid'!P:P,'2 Lønn med undervisningstid'!F:F,"-"))</f>
        <v>-</v>
      </c>
      <c r="G14" s="598" t="str">
        <f>_xlfn.XLOOKUP(D14&amp;"c",'2 Lønn med undervisningstid'!P:P,'2 Lønn med undervisningstid'!F:F," ")</f>
        <v/>
      </c>
      <c r="H14" s="599"/>
      <c r="I14" s="583"/>
      <c r="J14" s="579"/>
    </row>
    <row r="15" spans="1:10" s="127" customFormat="1" ht="15.75" hidden="1" outlineLevel="1" x14ac:dyDescent="0.25">
      <c r="A15" s="121"/>
      <c r="B15" s="583"/>
      <c r="C15" s="595"/>
      <c r="D15" s="600">
        <v>2</v>
      </c>
      <c r="E15" s="597" t="str">
        <f>IF(_xlfn.XLOOKUP(D15&amp;"a",'2 Lønn med undervisningstid'!P:P,'2 Lønn med undervisningstid'!F:F,"-")=0,"-",_xlfn.XLOOKUP(D15&amp;"a",'2 Lønn med undervisningstid'!P:P,'2 Lønn med undervisningstid'!F:F,"-"))</f>
        <v>-</v>
      </c>
      <c r="F15" s="597" t="str">
        <f>IF(_xlfn.XLOOKUP(D15&amp;"b",'2 Lønn med undervisningstid'!P:P,'2 Lønn med undervisningstid'!F:F,"-")=0,"-",_xlfn.XLOOKUP(D15&amp;"b",'2 Lønn med undervisningstid'!P:P,'2 Lønn med undervisningstid'!F:F,"-"))</f>
        <v>-</v>
      </c>
      <c r="G15" s="598" t="str">
        <f>_xlfn.XLOOKUP(D15&amp;"c",'2 Lønn med undervisningstid'!P:P,'2 Lønn med undervisningstid'!F:F," ")</f>
        <v/>
      </c>
      <c r="H15" s="599"/>
      <c r="I15" s="583"/>
      <c r="J15" s="579"/>
    </row>
    <row r="16" spans="1:10" s="127" customFormat="1" ht="15.75" hidden="1" outlineLevel="1" x14ac:dyDescent="0.25">
      <c r="A16" s="121"/>
      <c r="B16" s="583"/>
      <c r="C16" s="595"/>
      <c r="D16" s="600">
        <v>3</v>
      </c>
      <c r="E16" s="597" t="str">
        <f>IF(_xlfn.XLOOKUP(D16&amp;"a",'2 Lønn med undervisningstid'!P:P,'2 Lønn med undervisningstid'!F:F,"-")=0,"-",_xlfn.XLOOKUP(D16&amp;"a",'2 Lønn med undervisningstid'!P:P,'2 Lønn med undervisningstid'!F:F,"-"))</f>
        <v>-</v>
      </c>
      <c r="F16" s="597" t="str">
        <f>IF(_xlfn.XLOOKUP(D16&amp;"b",'2 Lønn med undervisningstid'!P:P,'2 Lønn med undervisningstid'!F:F,"-")=0,"-",_xlfn.XLOOKUP(D16&amp;"b",'2 Lønn med undervisningstid'!P:P,'2 Lønn med undervisningstid'!F:F,"-"))</f>
        <v>-</v>
      </c>
      <c r="G16" s="598" t="str">
        <f>_xlfn.XLOOKUP(D16&amp;"c",'2 Lønn med undervisningstid'!P:P,'2 Lønn med undervisningstid'!F:F," ")</f>
        <v/>
      </c>
      <c r="H16" s="599"/>
      <c r="I16" s="583"/>
      <c r="J16" s="579"/>
    </row>
    <row r="17" spans="1:10" s="127" customFormat="1" ht="15.75" hidden="1" outlineLevel="1" x14ac:dyDescent="0.25">
      <c r="A17" s="121"/>
      <c r="B17" s="583"/>
      <c r="C17" s="595"/>
      <c r="D17" s="600">
        <v>4</v>
      </c>
      <c r="E17" s="597" t="str">
        <f>IF(_xlfn.XLOOKUP(D17&amp;"a",'2 Lønn med undervisningstid'!P:P,'2 Lønn med undervisningstid'!F:F,"-")=0,"-",_xlfn.XLOOKUP(D17&amp;"a",'2 Lønn med undervisningstid'!P:P,'2 Lønn med undervisningstid'!F:F,"-"))</f>
        <v>-</v>
      </c>
      <c r="F17" s="597" t="str">
        <f>IF(_xlfn.XLOOKUP(D17&amp;"b",'2 Lønn med undervisningstid'!P:P,'2 Lønn med undervisningstid'!F:F,"-")=0,"-",_xlfn.XLOOKUP(D17&amp;"b",'2 Lønn med undervisningstid'!P:P,'2 Lønn med undervisningstid'!F:F,"-"))</f>
        <v>-</v>
      </c>
      <c r="G17" s="598" t="str">
        <f>_xlfn.XLOOKUP(D17&amp;"c",'2 Lønn med undervisningstid'!P:P,'2 Lønn med undervisningstid'!F:F," ")</f>
        <v/>
      </c>
      <c r="H17" s="599"/>
      <c r="I17" s="583"/>
      <c r="J17" s="579"/>
    </row>
    <row r="18" spans="1:10" s="127" customFormat="1" ht="15.75" hidden="1" outlineLevel="1" x14ac:dyDescent="0.25">
      <c r="A18" s="121"/>
      <c r="B18" s="583"/>
      <c r="C18" s="595"/>
      <c r="D18" s="600">
        <v>5</v>
      </c>
      <c r="E18" s="597" t="str">
        <f>IF(_xlfn.XLOOKUP(D18&amp;"a",'2 Lønn med undervisningstid'!P:P,'2 Lønn med undervisningstid'!F:F,"-")=0,"-",_xlfn.XLOOKUP(D18&amp;"a",'2 Lønn med undervisningstid'!P:P,'2 Lønn med undervisningstid'!F:F,"-"))</f>
        <v>-</v>
      </c>
      <c r="F18" s="597" t="str">
        <f>IF(_xlfn.XLOOKUP(D18&amp;"b",'2 Lønn med undervisningstid'!P:P,'2 Lønn med undervisningstid'!F:F,"-")=0,"-",_xlfn.XLOOKUP(D18&amp;"b",'2 Lønn med undervisningstid'!P:P,'2 Lønn med undervisningstid'!F:F,"-"))</f>
        <v>-</v>
      </c>
      <c r="G18" s="598" t="str">
        <f>_xlfn.XLOOKUP(D18&amp;"c",'2 Lønn med undervisningstid'!P:P,'2 Lønn med undervisningstid'!F:F," ")</f>
        <v/>
      </c>
      <c r="H18" s="599"/>
      <c r="I18" s="583"/>
      <c r="J18" s="579"/>
    </row>
    <row r="19" spans="1:10" s="127" customFormat="1" ht="15.75" collapsed="1" x14ac:dyDescent="0.25">
      <c r="A19" s="121"/>
      <c r="B19" s="583"/>
      <c r="C19" s="164"/>
      <c r="D19" s="601"/>
      <c r="E19" s="601"/>
      <c r="F19" s="601"/>
      <c r="G19" s="602"/>
      <c r="H19" s="583"/>
      <c r="I19" s="583"/>
      <c r="J19" s="579"/>
    </row>
    <row r="20" spans="1:10" s="127" customFormat="1" ht="15.75" x14ac:dyDescent="0.25">
      <c r="A20" s="121"/>
      <c r="B20" s="583"/>
      <c r="C20" s="590">
        <f>'3 Godtgjørelser'!C2</f>
        <v>3</v>
      </c>
      <c r="D20" s="591" t="str">
        <f>'3 Godtgjørelser'!E2</f>
        <v>Godtgjørelser</v>
      </c>
      <c r="E20" s="592"/>
      <c r="F20" s="592"/>
      <c r="G20" s="593">
        <f>SUM(G21:G25)</f>
        <v>0</v>
      </c>
      <c r="H20" s="594"/>
      <c r="I20" s="583"/>
      <c r="J20" s="579"/>
    </row>
    <row r="21" spans="1:10" s="127" customFormat="1" ht="15.75" hidden="1" outlineLevel="1" x14ac:dyDescent="0.25">
      <c r="A21" s="121"/>
      <c r="B21" s="583"/>
      <c r="C21" s="595"/>
      <c r="D21" s="596">
        <v>1</v>
      </c>
      <c r="E21" s="597" t="str">
        <f>'3 Godtgjørelser'!E16</f>
        <v>Avlastere og støttekontakter</v>
      </c>
      <c r="F21" s="597"/>
      <c r="G21" s="603" t="str">
        <f>'3 Godtgjørelser'!F37</f>
        <v/>
      </c>
      <c r="H21" s="599"/>
      <c r="I21" s="583"/>
      <c r="J21" s="579"/>
    </row>
    <row r="22" spans="1:10" s="127" customFormat="1" ht="15.75" hidden="1" outlineLevel="1" x14ac:dyDescent="0.25">
      <c r="A22" s="121"/>
      <c r="B22" s="583"/>
      <c r="C22" s="595"/>
      <c r="D22" s="600">
        <v>2</v>
      </c>
      <c r="E22" s="597" t="str">
        <f>'3 Godtgjørelser'!E52</f>
        <v>Omsorgsstønad</v>
      </c>
      <c r="F22" s="597"/>
      <c r="G22" s="603" t="str">
        <f>'3 Godtgjørelser'!F60</f>
        <v xml:space="preserve"> </v>
      </c>
      <c r="H22" s="599"/>
      <c r="I22" s="583"/>
      <c r="J22" s="579"/>
    </row>
    <row r="23" spans="1:10" s="127" customFormat="1" ht="15" hidden="1" customHeight="1" outlineLevel="1" x14ac:dyDescent="0.25">
      <c r="A23" s="121"/>
      <c r="B23" s="583"/>
      <c r="C23" s="595"/>
      <c r="D23" s="600">
        <v>3</v>
      </c>
      <c r="E23" s="597" t="str">
        <f>'3 Godtgjørelser'!E79</f>
        <v>Grunnstøtte til ordinært kommunalt  fosterhjem</v>
      </c>
      <c r="F23" s="597"/>
      <c r="G23" s="603" t="str">
        <f>'3 Godtgjørelser'!F99</f>
        <v/>
      </c>
      <c r="H23" s="599"/>
      <c r="I23" s="583"/>
      <c r="J23" s="579"/>
    </row>
    <row r="24" spans="1:10" s="127" customFormat="1" ht="15.75" hidden="1" outlineLevel="1" x14ac:dyDescent="0.25">
      <c r="A24" s="121"/>
      <c r="B24" s="583"/>
      <c r="C24" s="595"/>
      <c r="D24" s="600">
        <v>4</v>
      </c>
      <c r="E24" s="597" t="str">
        <f>'3 Godtgjørelser'!E113</f>
        <v>Grunnstøtte til besøkshjem</v>
      </c>
      <c r="F24" s="597"/>
      <c r="G24" s="603" t="str">
        <f>'3 Godtgjørelser'!F128</f>
        <v/>
      </c>
      <c r="H24" s="599"/>
      <c r="I24" s="583"/>
      <c r="J24" s="579"/>
    </row>
    <row r="25" spans="1:10" s="127" customFormat="1" ht="15.75" hidden="1" outlineLevel="1" x14ac:dyDescent="0.25">
      <c r="A25" s="121"/>
      <c r="B25" s="583"/>
      <c r="C25" s="595"/>
      <c r="D25" s="600">
        <v>5</v>
      </c>
      <c r="E25" s="597" t="str">
        <f>'3 Godtgjørelser'!E142</f>
        <v>Andre godtgjørelser</v>
      </c>
      <c r="F25" s="597"/>
      <c r="G25" s="603" t="str">
        <f>'3 Godtgjørelser'!F149</f>
        <v xml:space="preserve"> </v>
      </c>
      <c r="H25" s="599"/>
      <c r="I25" s="583"/>
      <c r="J25" s="579"/>
    </row>
    <row r="26" spans="1:10" s="127" customFormat="1" ht="15.75" collapsed="1" x14ac:dyDescent="0.25">
      <c r="A26" s="121"/>
      <c r="B26" s="583"/>
      <c r="C26" s="164"/>
      <c r="D26" s="601"/>
      <c r="E26" s="601"/>
      <c r="F26" s="601"/>
      <c r="G26" s="602"/>
      <c r="H26" s="583"/>
      <c r="I26" s="583"/>
      <c r="J26" s="579"/>
    </row>
    <row r="27" spans="1:10" s="127" customFormat="1" ht="15.75" x14ac:dyDescent="0.25">
      <c r="A27" s="121"/>
      <c r="B27" s="583"/>
      <c r="C27" s="590">
        <f>'4 Egenandel'!C2</f>
        <v>4</v>
      </c>
      <c r="D27" s="591" t="str">
        <f>'4 Egenandel'!E2</f>
        <v>Egenandel</v>
      </c>
      <c r="E27" s="592"/>
      <c r="F27" s="592"/>
      <c r="G27" s="593">
        <f>SUM(G28:G31)</f>
        <v>0</v>
      </c>
      <c r="H27" s="594"/>
      <c r="I27" s="583"/>
      <c r="J27" s="579"/>
    </row>
    <row r="28" spans="1:10" s="127" customFormat="1" ht="15.75" hidden="1" outlineLevel="1" x14ac:dyDescent="0.25">
      <c r="A28" s="121"/>
      <c r="B28" s="583"/>
      <c r="C28" s="595"/>
      <c r="D28" s="596">
        <v>1</v>
      </c>
      <c r="E28" s="736" t="str">
        <f>'4 Egenandel'!E14</f>
        <v>Egenandel til barnevernsinstitusjoner</v>
      </c>
      <c r="F28" s="736"/>
      <c r="G28" s="598" t="str">
        <f>'4 Egenandel'!F34</f>
        <v/>
      </c>
      <c r="H28" s="599"/>
      <c r="I28" s="583"/>
      <c r="J28" s="579"/>
    </row>
    <row r="29" spans="1:10" s="127" customFormat="1" ht="15.75" hidden="1" outlineLevel="1" x14ac:dyDescent="0.25">
      <c r="A29" s="121"/>
      <c r="B29" s="583"/>
      <c r="C29" s="595"/>
      <c r="D29" s="596">
        <v>2</v>
      </c>
      <c r="E29" s="597" t="str">
        <f>'4 Egenandel'!E48</f>
        <v>Egenandel til senter for foreldre og barn</v>
      </c>
      <c r="F29" s="597"/>
      <c r="G29" s="598" t="str">
        <f>'4 Egenandel'!F70</f>
        <v/>
      </c>
      <c r="H29" s="599"/>
      <c r="I29" s="583"/>
      <c r="J29" s="579"/>
    </row>
    <row r="30" spans="1:10" s="127" customFormat="1" ht="15.75" hidden="1" outlineLevel="1" x14ac:dyDescent="0.25">
      <c r="A30" s="121"/>
      <c r="B30" s="583"/>
      <c r="C30" s="595"/>
      <c r="D30" s="600">
        <v>3</v>
      </c>
      <c r="E30" s="604" t="str">
        <f>'4 Egenandel'!E89</f>
        <v>Egenandel til beredskapshjem og spesialiserte fosterhjem</v>
      </c>
      <c r="F30" s="604"/>
      <c r="G30" s="605" t="str">
        <f>'4 Egenandel'!F111</f>
        <v/>
      </c>
      <c r="H30" s="599"/>
      <c r="I30" s="583"/>
      <c r="J30" s="579"/>
    </row>
    <row r="31" spans="1:10" s="127" customFormat="1" ht="15.75" hidden="1" outlineLevel="1" x14ac:dyDescent="0.25">
      <c r="A31" s="121"/>
      <c r="B31" s="583"/>
      <c r="C31" s="595"/>
      <c r="D31" s="596">
        <v>4</v>
      </c>
      <c r="E31" s="604" t="str">
        <f>'4 Egenandel'!E125</f>
        <v>Egenandel til MST /FFT (Multisystemisk- / funksjonell familieterapi)</v>
      </c>
      <c r="F31" s="604"/>
      <c r="G31" s="605" t="str">
        <f>'4 Egenandel'!F143</f>
        <v/>
      </c>
      <c r="H31" s="599"/>
      <c r="I31" s="583"/>
      <c r="J31" s="579"/>
    </row>
    <row r="32" spans="1:10" s="127" customFormat="1" ht="15.75" collapsed="1" x14ac:dyDescent="0.25">
      <c r="A32" s="121"/>
      <c r="B32" s="583"/>
      <c r="C32" s="164"/>
      <c r="D32" s="601"/>
      <c r="E32" s="601"/>
      <c r="F32" s="601"/>
      <c r="G32" s="602"/>
      <c r="H32" s="583"/>
      <c r="I32" s="583"/>
      <c r="J32" s="579"/>
    </row>
    <row r="33" spans="1:10" s="127" customFormat="1" ht="15.75" x14ac:dyDescent="0.25">
      <c r="A33" s="121"/>
      <c r="B33" s="583"/>
      <c r="C33" s="590">
        <f>'5 Fakturabaserte kostnader'!C2</f>
        <v>5</v>
      </c>
      <c r="D33" s="591" t="str">
        <f>'5 Fakturabaserte kostnader'!E2</f>
        <v>Fakturabaserte kostnader</v>
      </c>
      <c r="E33" s="592"/>
      <c r="F33" s="592"/>
      <c r="G33" s="593">
        <f>SUM(G34:G35)</f>
        <v>0</v>
      </c>
      <c r="H33" s="594"/>
      <c r="I33" s="583"/>
      <c r="J33" s="579"/>
    </row>
    <row r="34" spans="1:10" s="127" customFormat="1" ht="15.75" hidden="1" outlineLevel="1" x14ac:dyDescent="0.25">
      <c r="A34" s="121"/>
      <c r="B34" s="583"/>
      <c r="C34" s="595"/>
      <c r="D34" s="596">
        <v>1</v>
      </c>
      <c r="E34" s="597" t="s">
        <v>63</v>
      </c>
      <c r="F34" s="597"/>
      <c r="G34" s="603">
        <f>'5 Fakturabaserte kostnader'!J29</f>
        <v>0</v>
      </c>
      <c r="H34" s="599"/>
      <c r="I34" s="583"/>
      <c r="J34" s="579"/>
    </row>
    <row r="35" spans="1:10" s="127" customFormat="1" ht="15.75" hidden="1" outlineLevel="1" x14ac:dyDescent="0.25">
      <c r="A35" s="121"/>
      <c r="B35" s="583"/>
      <c r="C35" s="595"/>
      <c r="D35" s="600">
        <v>2</v>
      </c>
      <c r="E35" s="597" t="s">
        <v>64</v>
      </c>
      <c r="F35" s="604"/>
      <c r="G35" s="598">
        <f>'5 Fakturabaserte kostnader'!J52</f>
        <v>0</v>
      </c>
      <c r="H35" s="599"/>
      <c r="I35" s="583"/>
      <c r="J35" s="579"/>
    </row>
    <row r="36" spans="1:10" s="127" customFormat="1" ht="15.75" collapsed="1" x14ac:dyDescent="0.25">
      <c r="A36" s="121"/>
      <c r="B36" s="583"/>
      <c r="C36" s="164"/>
      <c r="D36" s="601"/>
      <c r="E36" s="601"/>
      <c r="F36" s="601"/>
      <c r="G36" s="602"/>
      <c r="H36" s="583"/>
      <c r="I36" s="583"/>
      <c r="J36" s="579"/>
    </row>
    <row r="37" spans="1:10" s="127" customFormat="1" ht="15.75" x14ac:dyDescent="0.25">
      <c r="A37" s="121"/>
      <c r="B37" s="583"/>
      <c r="C37" s="590">
        <f>'6 Ansvarsgruppemøter'!C2</f>
        <v>6</v>
      </c>
      <c r="D37" s="591" t="str">
        <f>'6 Ansvarsgruppemøter'!E2</f>
        <v>Ansvarsgruppemøter/ sakkyndig arbeid fra PPT</v>
      </c>
      <c r="E37" s="592"/>
      <c r="F37" s="592"/>
      <c r="G37" s="593">
        <f>'6 Ansvarsgruppemøter'!P41</f>
        <v>0</v>
      </c>
      <c r="H37" s="594"/>
      <c r="I37" s="583"/>
      <c r="J37" s="579"/>
    </row>
    <row r="38" spans="1:10" s="127" customFormat="1" x14ac:dyDescent="0.25">
      <c r="A38" s="121"/>
      <c r="B38" s="583"/>
      <c r="C38" s="164"/>
      <c r="D38" s="164"/>
      <c r="E38" s="164"/>
      <c r="F38" s="164"/>
      <c r="G38" s="164"/>
      <c r="H38" s="583"/>
      <c r="I38" s="583"/>
      <c r="J38" s="579"/>
    </row>
    <row r="39" spans="1:10" s="127" customFormat="1" x14ac:dyDescent="0.25">
      <c r="A39" s="606"/>
      <c r="B39" s="607"/>
      <c r="C39" s="607"/>
      <c r="D39" s="607"/>
      <c r="E39" s="607"/>
      <c r="F39" s="607"/>
      <c r="G39" s="607"/>
      <c r="H39" s="607"/>
      <c r="I39" s="607"/>
      <c r="J39" s="606"/>
    </row>
    <row r="40" spans="1:10" s="127" customFormat="1" ht="31.5" x14ac:dyDescent="0.25">
      <c r="A40" s="121"/>
      <c r="B40" s="583"/>
      <c r="C40" s="583"/>
      <c r="D40" s="599"/>
      <c r="E40" s="599"/>
      <c r="F40" s="599"/>
      <c r="G40" s="608" t="e" vm="1">
        <v>#VALUE!</v>
      </c>
      <c r="H40" s="608"/>
      <c r="I40" s="599"/>
      <c r="J40" s="579"/>
    </row>
    <row r="41" spans="1:10" s="127" customFormat="1" x14ac:dyDescent="0.25">
      <c r="A41" s="121"/>
      <c r="B41" s="583"/>
      <c r="C41" s="583"/>
      <c r="D41" s="599"/>
      <c r="E41" s="599"/>
      <c r="F41" s="599"/>
      <c r="G41" s="599"/>
      <c r="H41" s="599"/>
      <c r="I41" s="583"/>
      <c r="J41" s="579"/>
    </row>
    <row r="42" spans="1:10" s="127" customFormat="1" x14ac:dyDescent="0.25">
      <c r="A42" s="121"/>
      <c r="B42" s="579"/>
      <c r="C42" s="579"/>
      <c r="D42" s="579"/>
      <c r="E42" s="579"/>
      <c r="F42" s="579"/>
      <c r="G42" s="579"/>
      <c r="H42" s="579"/>
      <c r="I42" s="579"/>
      <c r="J42" s="579"/>
    </row>
  </sheetData>
  <sheetProtection selectLockedCells="1" selectUnlockedCells="1"/>
  <mergeCells count="1">
    <mergeCell ref="E28:F28"/>
  </mergeCells>
  <pageMargins left="0.7" right="0.7" top="0.75" bottom="0.75" header="0.3" footer="0.3"/>
  <pageSetup paperSize="9" scale="9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41E1A-9B84-430B-AC62-CC4C7EB4D628}">
  <sheetPr codeName="Ark2">
    <tabColor rgb="FFF2EFED"/>
    <pageSetUpPr autoPageBreaks="0"/>
  </sheetPr>
  <dimension ref="A1:W370"/>
  <sheetViews>
    <sheetView showGridLines="0" zoomScale="110" zoomScaleNormal="110" zoomScaleSheetLayoutView="90" workbookViewId="0">
      <pane ySplit="4" topLeftCell="A5" activePane="bottomLeft" state="frozen"/>
      <selection activeCell="E21" sqref="E21"/>
      <selection pane="bottomLeft"/>
    </sheetView>
  </sheetViews>
  <sheetFormatPr baseColWidth="10" defaultColWidth="0" defaultRowHeight="15" zeroHeight="1" x14ac:dyDescent="0.25"/>
  <cols>
    <col min="1" max="1" width="1.42578125" style="127" customWidth="1"/>
    <col min="2" max="3" width="4.28515625" style="127" customWidth="1"/>
    <col min="4" max="4" width="1.28515625" style="127" customWidth="1"/>
    <col min="5" max="5" width="45.28515625" style="127" customWidth="1"/>
    <col min="6" max="6" width="23.140625" style="435" customWidth="1"/>
    <col min="7" max="7" width="3.28515625" style="210" customWidth="1"/>
    <col min="8" max="8" width="1.28515625" style="465" customWidth="1"/>
    <col min="9" max="9" width="4.28515625" style="444" customWidth="1"/>
    <col min="10" max="10" width="11.7109375" style="127" customWidth="1"/>
    <col min="11" max="11" width="42.140625" style="127" customWidth="1"/>
    <col min="12" max="12" width="1.28515625" style="127" customWidth="1"/>
    <col min="13" max="14" width="4.28515625" style="127" customWidth="1"/>
    <col min="15" max="15" width="1.42578125" style="127" customWidth="1"/>
    <col min="16" max="16" width="12.28515625" style="127" hidden="1" customWidth="1"/>
    <col min="17" max="17" width="30.7109375" style="210" hidden="1" customWidth="1"/>
    <col min="18" max="18" width="10.85546875" style="210" hidden="1" customWidth="1"/>
    <col min="19" max="22" width="15" style="210" hidden="1" customWidth="1"/>
    <col min="23" max="23" width="11.42578125" style="127" hidden="1" customWidth="1"/>
    <col min="24" max="16384" width="11.42578125" hidden="1"/>
  </cols>
  <sheetData>
    <row r="1" spans="1:23" ht="8.1" customHeight="1" x14ac:dyDescent="0.25">
      <c r="A1" s="121"/>
      <c r="B1" s="121"/>
      <c r="C1" s="121"/>
      <c r="D1" s="121"/>
      <c r="E1" s="121"/>
      <c r="F1" s="122"/>
      <c r="G1" s="123"/>
      <c r="H1" s="124"/>
      <c r="I1" s="125"/>
      <c r="J1" s="126"/>
      <c r="K1" s="121"/>
      <c r="L1" s="121"/>
      <c r="M1" s="121"/>
      <c r="N1" s="121"/>
      <c r="O1" s="121"/>
    </row>
    <row r="2" spans="1:23" ht="32.1" customHeight="1" x14ac:dyDescent="0.5">
      <c r="A2" s="128"/>
      <c r="B2" s="128"/>
      <c r="C2" s="129">
        <v>1</v>
      </c>
      <c r="D2" s="130"/>
      <c r="E2" s="131" t="s">
        <v>65</v>
      </c>
      <c r="F2" s="132"/>
      <c r="G2" s="123"/>
      <c r="H2" s="133"/>
      <c r="I2" s="134"/>
      <c r="J2" s="128"/>
      <c r="K2" s="640"/>
      <c r="L2" s="128"/>
      <c r="M2" s="130"/>
      <c r="N2" s="128"/>
      <c r="O2" s="128"/>
      <c r="P2" s="211"/>
      <c r="W2" s="211"/>
    </row>
    <row r="3" spans="1:23" x14ac:dyDescent="0.25">
      <c r="A3" s="135"/>
      <c r="B3" s="135"/>
      <c r="C3" s="135"/>
      <c r="D3" s="136"/>
      <c r="E3" s="137" t="str">
        <f>"- til miljøterapeut, sykepleier, skoleassistent, kommunal tolk, eller andre kommunalt ansatte som ikke underviser"</f>
        <v>- til miljøterapeut, sykepleier, skoleassistent, kommunal tolk, eller andre kommunalt ansatte som ikke underviser</v>
      </c>
      <c r="F3" s="138"/>
      <c r="G3" s="135"/>
      <c r="H3" s="139"/>
      <c r="I3" s="140"/>
      <c r="J3" s="135"/>
      <c r="K3" s="135"/>
      <c r="L3" s="135"/>
      <c r="M3" s="136"/>
      <c r="N3" s="135"/>
      <c r="O3" s="135"/>
      <c r="P3" s="212"/>
      <c r="Q3" s="317"/>
      <c r="R3" s="317"/>
      <c r="S3" s="317"/>
      <c r="T3" s="317"/>
      <c r="U3" s="317"/>
      <c r="V3" s="317"/>
      <c r="W3" s="212"/>
    </row>
    <row r="4" spans="1:23" ht="8.1" customHeight="1" x14ac:dyDescent="0.25">
      <c r="A4" s="121"/>
      <c r="B4" s="121"/>
      <c r="C4" s="121"/>
      <c r="D4" s="121"/>
      <c r="E4" s="121"/>
      <c r="F4" s="122"/>
      <c r="G4" s="123"/>
      <c r="H4" s="124"/>
      <c r="I4" s="125"/>
      <c r="J4" s="121"/>
      <c r="K4" s="121"/>
      <c r="L4" s="121"/>
      <c r="M4" s="121"/>
      <c r="N4" s="121"/>
      <c r="O4" s="121"/>
    </row>
    <row r="5" spans="1:23" ht="15" customHeight="1" x14ac:dyDescent="0.25">
      <c r="A5" s="121"/>
      <c r="B5" s="141"/>
      <c r="C5" s="141"/>
      <c r="D5" s="141"/>
      <c r="E5" s="141"/>
      <c r="F5" s="318"/>
      <c r="G5" s="319"/>
      <c r="H5" s="198"/>
      <c r="I5" s="320"/>
      <c r="J5" s="141"/>
      <c r="K5" s="141"/>
      <c r="L5" s="141"/>
      <c r="M5" s="141"/>
      <c r="N5" s="141"/>
      <c r="O5" s="121"/>
      <c r="Q5" s="321" t="s">
        <v>66</v>
      </c>
      <c r="R5" s="322">
        <v>650</v>
      </c>
      <c r="S5" s="755" t="s">
        <v>67</v>
      </c>
      <c r="T5" s="755"/>
      <c r="U5" s="755"/>
      <c r="V5" s="755" t="s">
        <v>68</v>
      </c>
    </row>
    <row r="6" spans="1:23" ht="24" x14ac:dyDescent="0.4">
      <c r="A6" s="121"/>
      <c r="B6" s="141"/>
      <c r="C6" s="142"/>
      <c r="D6" s="142"/>
      <c r="E6" s="143" t="s">
        <v>69</v>
      </c>
      <c r="F6" s="143"/>
      <c r="G6" s="323"/>
      <c r="H6" s="144"/>
      <c r="I6" s="143" t="s">
        <v>70</v>
      </c>
      <c r="J6" s="145"/>
      <c r="K6" s="146"/>
      <c r="L6" s="146"/>
      <c r="M6" s="149"/>
      <c r="N6" s="141"/>
      <c r="O6" s="121"/>
      <c r="Q6" s="321" t="s">
        <v>281</v>
      </c>
      <c r="R6" s="324">
        <v>0</v>
      </c>
      <c r="S6" s="755" t="s">
        <v>282</v>
      </c>
      <c r="T6" s="755"/>
      <c r="U6" s="755"/>
      <c r="V6" s="755"/>
    </row>
    <row r="7" spans="1:23" ht="22.5" x14ac:dyDescent="0.25">
      <c r="A7" s="121"/>
      <c r="B7" s="141"/>
      <c r="C7" s="150"/>
      <c r="D7" s="756" t="s">
        <v>276</v>
      </c>
      <c r="E7" s="757"/>
      <c r="F7" s="757"/>
      <c r="G7" s="201"/>
      <c r="H7" s="325"/>
      <c r="I7" s="758" t="s">
        <v>284</v>
      </c>
      <c r="J7" s="758"/>
      <c r="K7" s="758"/>
      <c r="L7" s="610"/>
      <c r="M7" s="224"/>
      <c r="N7" s="141"/>
      <c r="O7" s="121"/>
      <c r="Q7" s="321" t="s">
        <v>72</v>
      </c>
      <c r="R7" s="221" t="s">
        <v>73</v>
      </c>
      <c r="S7" s="326" t="s">
        <v>74</v>
      </c>
      <c r="T7" s="327"/>
      <c r="U7" s="327"/>
      <c r="V7" s="328"/>
    </row>
    <row r="8" spans="1:23" ht="22.5" x14ac:dyDescent="0.25">
      <c r="A8" s="121"/>
      <c r="B8" s="141"/>
      <c r="C8" s="150"/>
      <c r="D8" s="757"/>
      <c r="E8" s="757"/>
      <c r="F8" s="757"/>
      <c r="G8" s="201"/>
      <c r="H8" s="325"/>
      <c r="I8" s="758"/>
      <c r="J8" s="758"/>
      <c r="K8" s="758"/>
      <c r="L8" s="610"/>
      <c r="M8" s="224"/>
      <c r="N8" s="141"/>
      <c r="O8" s="121"/>
      <c r="Q8" s="321" t="s">
        <v>75</v>
      </c>
      <c r="R8" s="329" t="s">
        <v>76</v>
      </c>
      <c r="S8" s="327"/>
      <c r="T8" s="327"/>
      <c r="U8" s="327"/>
      <c r="V8" s="328"/>
    </row>
    <row r="9" spans="1:23" ht="22.5" x14ac:dyDescent="0.25">
      <c r="A9" s="121"/>
      <c r="B9" s="141"/>
      <c r="C9" s="150"/>
      <c r="D9" s="757"/>
      <c r="E9" s="757"/>
      <c r="F9" s="757"/>
      <c r="G9" s="201"/>
      <c r="H9" s="325"/>
      <c r="I9" s="758"/>
      <c r="J9" s="758"/>
      <c r="K9" s="758"/>
      <c r="L9" s="610"/>
      <c r="M9" s="155"/>
      <c r="N9" s="141"/>
      <c r="O9" s="121"/>
      <c r="Q9" s="321" t="s">
        <v>77</v>
      </c>
      <c r="R9" s="221" t="s">
        <v>78</v>
      </c>
      <c r="S9" s="327"/>
      <c r="T9" s="327"/>
      <c r="U9" s="327"/>
      <c r="V9" s="328"/>
    </row>
    <row r="10" spans="1:23" ht="22.5" x14ac:dyDescent="0.25">
      <c r="A10" s="121"/>
      <c r="B10" s="141"/>
      <c r="C10" s="150"/>
      <c r="D10" s="757"/>
      <c r="E10" s="757"/>
      <c r="F10" s="757"/>
      <c r="G10" s="201"/>
      <c r="H10" s="325"/>
      <c r="I10" s="758"/>
      <c r="J10" s="758"/>
      <c r="K10" s="758"/>
      <c r="L10" s="610"/>
      <c r="M10" s="155"/>
      <c r="N10" s="141"/>
      <c r="O10" s="121"/>
      <c r="Q10" s="321" t="s">
        <v>79</v>
      </c>
      <c r="R10" s="330" t="s">
        <v>80</v>
      </c>
      <c r="S10" s="331"/>
      <c r="T10" s="331"/>
      <c r="U10" s="327"/>
      <c r="V10" s="328"/>
    </row>
    <row r="11" spans="1:23" ht="22.5" x14ac:dyDescent="0.25">
      <c r="A11" s="121"/>
      <c r="B11" s="141"/>
      <c r="C11" s="150"/>
      <c r="D11" s="757"/>
      <c r="E11" s="757"/>
      <c r="F11" s="757"/>
      <c r="G11" s="201"/>
      <c r="H11" s="325"/>
      <c r="I11" s="758"/>
      <c r="J11" s="758"/>
      <c r="K11" s="758"/>
      <c r="L11" s="610"/>
      <c r="M11" s="155"/>
      <c r="N11" s="141"/>
      <c r="O11" s="121"/>
    </row>
    <row r="12" spans="1:23" ht="22.5" x14ac:dyDescent="0.25">
      <c r="A12" s="121"/>
      <c r="B12" s="141"/>
      <c r="C12" s="150"/>
      <c r="D12" s="757"/>
      <c r="E12" s="757"/>
      <c r="F12" s="757"/>
      <c r="G12" s="201"/>
      <c r="H12" s="325"/>
      <c r="I12" s="758"/>
      <c r="J12" s="758"/>
      <c r="K12" s="758"/>
      <c r="L12" s="610"/>
      <c r="M12" s="155"/>
      <c r="N12" s="141"/>
      <c r="O12" s="121"/>
    </row>
    <row r="13" spans="1:23" ht="15" customHeight="1" x14ac:dyDescent="0.25">
      <c r="A13" s="121"/>
      <c r="B13" s="141"/>
      <c r="C13" s="153"/>
      <c r="D13" s="201"/>
      <c r="E13" s="201"/>
      <c r="F13" s="201"/>
      <c r="G13" s="201"/>
      <c r="H13" s="325"/>
      <c r="I13" s="332"/>
      <c r="J13" s="332"/>
      <c r="K13" s="332"/>
      <c r="L13" s="332"/>
      <c r="M13" s="155"/>
      <c r="N13" s="141"/>
      <c r="O13" s="121"/>
    </row>
    <row r="14" spans="1:23" ht="15" customHeight="1" x14ac:dyDescent="0.25">
      <c r="A14" s="121"/>
      <c r="B14" s="141"/>
      <c r="C14" s="156"/>
      <c r="D14" s="156"/>
      <c r="E14" s="156"/>
      <c r="F14" s="333"/>
      <c r="G14" s="334"/>
      <c r="H14" s="157"/>
      <c r="I14" s="335"/>
      <c r="J14" s="156"/>
      <c r="K14" s="156"/>
      <c r="L14" s="156"/>
      <c r="M14" s="156"/>
      <c r="N14" s="141"/>
      <c r="O14" s="121"/>
    </row>
    <row r="15" spans="1:23" ht="6" customHeight="1" x14ac:dyDescent="0.25">
      <c r="A15" s="121"/>
      <c r="B15" s="121"/>
      <c r="C15" s="121"/>
      <c r="D15" s="121"/>
      <c r="E15" s="121"/>
      <c r="F15" s="122"/>
      <c r="G15" s="121"/>
      <c r="H15" s="121"/>
      <c r="I15" s="336"/>
      <c r="J15" s="121"/>
      <c r="K15" s="121"/>
      <c r="L15" s="121"/>
      <c r="M15" s="121"/>
      <c r="N15" s="121"/>
      <c r="O15" s="121"/>
    </row>
    <row r="16" spans="1:23" ht="15" customHeight="1" x14ac:dyDescent="0.25">
      <c r="A16" s="121"/>
      <c r="B16" s="141"/>
      <c r="C16" s="141"/>
      <c r="D16" s="141"/>
      <c r="E16" s="141"/>
      <c r="F16" s="318"/>
      <c r="G16" s="319"/>
      <c r="H16" s="198"/>
      <c r="I16" s="320"/>
      <c r="J16" s="141"/>
      <c r="K16" s="141"/>
      <c r="L16" s="141"/>
      <c r="M16" s="141"/>
      <c r="N16" s="141"/>
      <c r="O16" s="121"/>
    </row>
    <row r="17" spans="1:23" x14ac:dyDescent="0.25">
      <c r="A17" s="121"/>
      <c r="B17" s="141"/>
      <c r="C17" s="292"/>
      <c r="D17" s="293"/>
      <c r="E17" s="293"/>
      <c r="F17" s="337"/>
      <c r="G17" s="338"/>
      <c r="H17" s="295"/>
      <c r="I17" s="339"/>
      <c r="J17" s="293"/>
      <c r="K17" s="293"/>
      <c r="L17" s="293"/>
      <c r="M17" s="162"/>
      <c r="N17" s="141"/>
      <c r="O17" s="121"/>
      <c r="Q17" s="340" t="s">
        <v>81</v>
      </c>
      <c r="R17" s="341"/>
      <c r="S17" s="341"/>
      <c r="T17" s="342" t="s">
        <v>82</v>
      </c>
    </row>
    <row r="18" spans="1:23" ht="21" x14ac:dyDescent="0.25">
      <c r="A18" s="343"/>
      <c r="B18" s="344"/>
      <c r="C18" s="345"/>
      <c r="D18" s="346"/>
      <c r="E18" s="347" t="str">
        <f>"Beregning "&amp;P18</f>
        <v>Beregning 1</v>
      </c>
      <c r="F18" s="348"/>
      <c r="G18" s="346"/>
      <c r="H18" s="349"/>
      <c r="I18" s="350"/>
      <c r="J18" s="346"/>
      <c r="K18" s="346"/>
      <c r="L18" s="346"/>
      <c r="M18" s="351"/>
      <c r="N18" s="344"/>
      <c r="O18" s="343"/>
      <c r="P18" s="352">
        <f>COUNTIF($D$16:D19,"tiltaket")</f>
        <v>1</v>
      </c>
      <c r="Q18" s="353" t="s">
        <v>83</v>
      </c>
      <c r="R18" s="353" t="s">
        <v>84</v>
      </c>
      <c r="S18" s="353" t="s">
        <v>85</v>
      </c>
      <c r="T18" s="353" t="s">
        <v>86</v>
      </c>
      <c r="U18" s="210" t="s">
        <v>87</v>
      </c>
      <c r="V18" s="354"/>
      <c r="W18" s="352"/>
    </row>
    <row r="19" spans="1:23" ht="30" customHeight="1" x14ac:dyDescent="0.35">
      <c r="A19" s="355"/>
      <c r="B19" s="356"/>
      <c r="C19" s="357"/>
      <c r="D19" s="358" t="s">
        <v>88</v>
      </c>
      <c r="E19" s="359"/>
      <c r="F19" s="360"/>
      <c r="G19" s="359"/>
      <c r="H19" s="361"/>
      <c r="I19" s="362"/>
      <c r="J19" s="403"/>
      <c r="K19" s="363"/>
      <c r="L19" s="363"/>
      <c r="M19" s="364"/>
      <c r="N19" s="356"/>
      <c r="O19" s="355"/>
      <c r="P19" s="363"/>
      <c r="Q19" s="365"/>
      <c r="R19" s="365"/>
      <c r="S19" s="365"/>
      <c r="T19" s="365"/>
      <c r="U19" s="210" t="s">
        <v>87</v>
      </c>
      <c r="W19" s="363"/>
    </row>
    <row r="20" spans="1:23" ht="8.1" customHeight="1" x14ac:dyDescent="0.25">
      <c r="A20" s="121"/>
      <c r="B20" s="158"/>
      <c r="C20" s="366"/>
      <c r="D20" s="367"/>
      <c r="E20" s="219"/>
      <c r="F20" s="368"/>
      <c r="G20" s="219"/>
      <c r="H20" s="369"/>
      <c r="I20" s="576"/>
      <c r="J20" s="576"/>
      <c r="K20" s="219"/>
      <c r="L20" s="219"/>
      <c r="M20" s="371"/>
      <c r="N20" s="158"/>
      <c r="O20" s="121"/>
      <c r="P20" s="219"/>
      <c r="Q20" s="372"/>
      <c r="R20" s="372"/>
      <c r="S20" s="372"/>
      <c r="T20" s="372"/>
      <c r="U20" s="210" t="s">
        <v>87</v>
      </c>
      <c r="V20" s="354"/>
      <c r="W20" s="219"/>
    </row>
    <row r="21" spans="1:23" ht="15.75" thickBot="1" x14ac:dyDescent="0.3">
      <c r="A21" s="121"/>
      <c r="B21" s="141"/>
      <c r="C21" s="163"/>
      <c r="D21" s="247"/>
      <c r="E21" s="373" t="s">
        <v>89</v>
      </c>
      <c r="F21" s="665"/>
      <c r="G21" s="374" t="s">
        <v>90</v>
      </c>
      <c r="H21" s="375"/>
      <c r="I21" s="237" t="str">
        <f>S21</f>
        <v xml:space="preserve">*obligatorisk </v>
      </c>
      <c r="J21" s="577"/>
      <c r="K21" s="376"/>
      <c r="L21" s="376"/>
      <c r="M21" s="377"/>
      <c r="N21" s="158"/>
      <c r="O21" s="121"/>
      <c r="P21" s="575" t="str">
        <f>P18&amp;"a"</f>
        <v>1a</v>
      </c>
      <c r="Q21" s="253" t="str">
        <f>D19</f>
        <v>Tiltaket</v>
      </c>
      <c r="R21" s="378">
        <f>F21</f>
        <v>0</v>
      </c>
      <c r="S21" s="253" t="str" cm="1">
        <f t="array" ref="S21">_xlfn.IFS(F21="",$R$7,TRUE,"")</f>
        <v xml:space="preserve">*obligatorisk </v>
      </c>
      <c r="T21" s="379" t="s">
        <v>87</v>
      </c>
      <c r="U21" s="210" t="s">
        <v>87</v>
      </c>
    </row>
    <row r="22" spans="1:23" ht="15.75" thickTop="1" x14ac:dyDescent="0.25">
      <c r="A22" s="121"/>
      <c r="B22" s="141"/>
      <c r="C22" s="163"/>
      <c r="D22" s="247"/>
      <c r="E22" s="464" t="s">
        <v>91</v>
      </c>
      <c r="F22" s="651"/>
      <c r="G22" s="374" t="s">
        <v>90</v>
      </c>
      <c r="H22" s="380"/>
      <c r="I22" s="237" t="str">
        <f>S22</f>
        <v/>
      </c>
      <c r="J22" s="362"/>
      <c r="M22" s="381"/>
      <c r="N22" s="141"/>
      <c r="O22" s="121"/>
      <c r="Q22" s="253" t="str">
        <f>E22</f>
        <v xml:space="preserve">hvis tolk: hvilket tiltak er tolken brukt i? </v>
      </c>
      <c r="R22" s="378">
        <f>F22</f>
        <v>0</v>
      </c>
      <c r="S22" s="253" t="str" cm="1">
        <f t="array" ref="S22">_xlfn.IFS(AND(IFERROR(SEARCH("tolk",F21),0)&gt;0,F22=""),$R$7,TRUE,"")</f>
        <v/>
      </c>
      <c r="T22" s="379" t="s">
        <v>87</v>
      </c>
      <c r="U22" s="210" t="s">
        <v>87</v>
      </c>
    </row>
    <row r="23" spans="1:23" ht="8.1" customHeight="1" x14ac:dyDescent="0.25">
      <c r="A23" s="121"/>
      <c r="B23" s="141"/>
      <c r="C23" s="163"/>
      <c r="D23" s="247"/>
      <c r="E23" s="382"/>
      <c r="F23" s="382"/>
      <c r="G23" s="374"/>
      <c r="H23" s="375"/>
      <c r="I23" s="383"/>
      <c r="J23" s="577"/>
      <c r="K23" s="376"/>
      <c r="L23" s="376"/>
      <c r="M23" s="377"/>
      <c r="N23" s="158"/>
      <c r="O23" s="121"/>
      <c r="P23" s="219"/>
      <c r="Q23" s="353"/>
      <c r="R23" s="353"/>
      <c r="S23" s="353"/>
      <c r="T23" s="353"/>
      <c r="U23" s="210" t="s">
        <v>87</v>
      </c>
    </row>
    <row r="24" spans="1:23" x14ac:dyDescent="0.25">
      <c r="A24" s="121"/>
      <c r="B24" s="141"/>
      <c r="C24" s="163"/>
      <c r="D24" s="247"/>
      <c r="E24" s="384" t="s">
        <v>92</v>
      </c>
      <c r="F24" s="167"/>
      <c r="G24" s="385"/>
      <c r="H24" s="380"/>
      <c r="I24" s="386"/>
      <c r="J24" s="362"/>
      <c r="K24" s="362"/>
      <c r="L24" s="362"/>
      <c r="M24" s="381"/>
      <c r="N24" s="141"/>
      <c r="O24" s="121"/>
      <c r="Q24" s="372"/>
      <c r="R24" s="372"/>
      <c r="S24" s="372"/>
      <c r="T24" s="372"/>
      <c r="U24" s="210" t="s">
        <v>87</v>
      </c>
    </row>
    <row r="25" spans="1:23" ht="15.75" thickBot="1" x14ac:dyDescent="0.3">
      <c r="A25" s="121"/>
      <c r="B25" s="141"/>
      <c r="C25" s="163"/>
      <c r="D25" s="247"/>
      <c r="E25" s="387" t="s">
        <v>93</v>
      </c>
      <c r="F25" s="662"/>
      <c r="G25" s="374" t="s">
        <v>90</v>
      </c>
      <c r="H25" s="380"/>
      <c r="I25" s="237" t="str">
        <f>S25</f>
        <v xml:space="preserve">*obligatorisk </v>
      </c>
      <c r="J25" s="362"/>
      <c r="K25" s="388"/>
      <c r="L25" s="388"/>
      <c r="M25" s="381"/>
      <c r="N25" s="141"/>
      <c r="O25" s="121"/>
      <c r="Q25" s="253" t="str">
        <f>E25</f>
        <v xml:space="preserve">arbeidstimer per uke </v>
      </c>
      <c r="R25" s="389">
        <f>F25</f>
        <v>0</v>
      </c>
      <c r="S25" s="253" t="str" cm="1">
        <f t="array" ref="S25">_xlfn.IFS(F25="",$R$7,TRUE,"")</f>
        <v xml:space="preserve">*obligatorisk </v>
      </c>
      <c r="T25" s="379" t="s">
        <v>87</v>
      </c>
      <c r="U25" s="210" t="s">
        <v>87</v>
      </c>
    </row>
    <row r="26" spans="1:23" ht="15.75" thickTop="1" x14ac:dyDescent="0.25">
      <c r="A26" s="121"/>
      <c r="B26" s="141"/>
      <c r="C26" s="163"/>
      <c r="D26" s="247"/>
      <c r="E26" s="387" t="s">
        <v>94</v>
      </c>
      <c r="F26" s="663"/>
      <c r="G26" s="374" t="s">
        <v>90</v>
      </c>
      <c r="H26" s="380"/>
      <c r="I26" s="237" t="str">
        <f>S26</f>
        <v xml:space="preserve">*obligatorisk </v>
      </c>
      <c r="J26" s="362"/>
      <c r="K26" s="388"/>
      <c r="L26" s="388"/>
      <c r="M26" s="381"/>
      <c r="N26" s="141"/>
      <c r="O26" s="121"/>
      <c r="Q26" s="253" t="str">
        <f>E26</f>
        <v xml:space="preserve">arbeidsuker i tilskuddperioden </v>
      </c>
      <c r="R26" s="389">
        <f>F26</f>
        <v>0</v>
      </c>
      <c r="S26" s="253" t="str" cm="1">
        <f t="array" ref="S26">_xlfn.IFS(F26="",$R$7,TRUE,"")</f>
        <v xml:space="preserve">*obligatorisk </v>
      </c>
      <c r="T26" s="379" t="s">
        <v>87</v>
      </c>
      <c r="U26" s="210" t="s">
        <v>87</v>
      </c>
    </row>
    <row r="27" spans="1:23" ht="15.75" thickBot="1" x14ac:dyDescent="0.3">
      <c r="A27" s="121"/>
      <c r="B27" s="141"/>
      <c r="C27" s="163"/>
      <c r="D27" s="247"/>
      <c r="E27" s="387" t="s">
        <v>95</v>
      </c>
      <c r="F27" s="664">
        <f>R27</f>
        <v>0</v>
      </c>
      <c r="G27" s="185"/>
      <c r="H27" s="380"/>
      <c r="I27" s="237"/>
      <c r="J27" s="362"/>
      <c r="K27" s="362"/>
      <c r="L27" s="362"/>
      <c r="M27" s="381"/>
      <c r="N27" s="141"/>
      <c r="O27" s="121"/>
      <c r="Q27" s="253" t="str">
        <f>E27</f>
        <v xml:space="preserve">arbeidstimer totalt </v>
      </c>
      <c r="R27" s="389">
        <f>R25*R26</f>
        <v>0</v>
      </c>
      <c r="S27" s="253"/>
      <c r="T27" s="379" t="s">
        <v>87</v>
      </c>
      <c r="U27" s="210" t="s">
        <v>87</v>
      </c>
    </row>
    <row r="28" spans="1:23" ht="8.1" customHeight="1" thickTop="1" thickBot="1" x14ac:dyDescent="0.3">
      <c r="A28" s="121"/>
      <c r="B28" s="141"/>
      <c r="C28" s="163"/>
      <c r="D28" s="247"/>
      <c r="E28" s="249"/>
      <c r="F28" s="390"/>
      <c r="G28" s="185"/>
      <c r="H28" s="380"/>
      <c r="I28" s="237"/>
      <c r="J28" s="362"/>
      <c r="K28" s="362"/>
      <c r="L28" s="362"/>
      <c r="M28" s="381"/>
      <c r="N28" s="141"/>
      <c r="O28" s="121"/>
      <c r="Q28" s="391"/>
      <c r="R28" s="391"/>
      <c r="S28" s="391"/>
      <c r="T28" s="391"/>
      <c r="U28" s="210" t="s">
        <v>87</v>
      </c>
    </row>
    <row r="29" spans="1:23" ht="15.75" thickTop="1" x14ac:dyDescent="0.25">
      <c r="A29" s="121"/>
      <c r="B29" s="141"/>
      <c r="C29" s="163"/>
      <c r="D29" s="247"/>
      <c r="E29" s="384" t="str">
        <f>"Ubekvemstillegg for de "&amp;IF(F27=0,"timene:",F27&amp;" timene:")</f>
        <v>Ubekvemstillegg for de timene:</v>
      </c>
      <c r="F29" s="392"/>
      <c r="H29" s="380"/>
      <c r="I29" s="237"/>
      <c r="J29" s="362"/>
      <c r="K29" s="362"/>
      <c r="L29" s="362"/>
      <c r="M29" s="381"/>
      <c r="N29" s="141"/>
      <c r="O29" s="121"/>
      <c r="Q29" s="393" t="s">
        <v>96</v>
      </c>
      <c r="R29" s="394">
        <f>(R27-R30-R31)</f>
        <v>0</v>
      </c>
      <c r="S29" s="393"/>
      <c r="T29" s="395" t="e">
        <f>R29/R27</f>
        <v>#DIV/0!</v>
      </c>
      <c r="U29" s="210" t="s">
        <v>87</v>
      </c>
    </row>
    <row r="30" spans="1:23" ht="15.75" thickBot="1" x14ac:dyDescent="0.3">
      <c r="A30" s="121"/>
      <c r="B30" s="141"/>
      <c r="C30" s="163"/>
      <c r="D30" s="247"/>
      <c r="E30" s="396" t="s">
        <v>97</v>
      </c>
      <c r="F30" s="657">
        <v>0</v>
      </c>
      <c r="G30" s="374" t="s">
        <v>90</v>
      </c>
      <c r="H30" s="380"/>
      <c r="I30" s="237"/>
      <c r="J30" s="362"/>
      <c r="K30" s="362"/>
      <c r="L30" s="362"/>
      <c r="M30" s="381"/>
      <c r="N30" s="141"/>
      <c r="O30" s="121"/>
      <c r="Q30" s="253" t="str">
        <f>E30</f>
        <v>arbeidstimer kveld</v>
      </c>
      <c r="R30" s="389">
        <f>F30</f>
        <v>0</v>
      </c>
      <c r="S30" s="253"/>
      <c r="T30" s="397" t="e">
        <f>R30/R27</f>
        <v>#DIV/0!</v>
      </c>
      <c r="U30" s="210" t="s">
        <v>87</v>
      </c>
    </row>
    <row r="31" spans="1:23" ht="16.5" thickTop="1" thickBot="1" x14ac:dyDescent="0.3">
      <c r="A31" s="121"/>
      <c r="B31" s="141"/>
      <c r="C31" s="163"/>
      <c r="D31" s="247"/>
      <c r="E31" s="396" t="s">
        <v>98</v>
      </c>
      <c r="F31" s="658">
        <v>0</v>
      </c>
      <c r="G31" s="374" t="s">
        <v>90</v>
      </c>
      <c r="H31" s="380"/>
      <c r="I31" s="237"/>
      <c r="J31" s="362"/>
      <c r="K31" s="362"/>
      <c r="L31" s="362"/>
      <c r="M31" s="381"/>
      <c r="N31" s="141"/>
      <c r="O31" s="121"/>
      <c r="Q31" s="253" t="str">
        <f t="shared" ref="Q31" si="0">E31</f>
        <v>arbeidstimer natt</v>
      </c>
      <c r="R31" s="389">
        <f t="shared" ref="R31" si="1">F31</f>
        <v>0</v>
      </c>
      <c r="S31" s="253"/>
      <c r="T31" s="397" t="e">
        <f>R31/R27</f>
        <v>#DIV/0!</v>
      </c>
      <c r="U31" s="210" t="s">
        <v>87</v>
      </c>
    </row>
    <row r="32" spans="1:23" ht="8.1" customHeight="1" thickTop="1" x14ac:dyDescent="0.25">
      <c r="A32" s="121"/>
      <c r="B32" s="141"/>
      <c r="C32" s="163"/>
      <c r="D32" s="247"/>
      <c r="E32" s="249"/>
      <c r="F32" s="659"/>
      <c r="G32" s="185"/>
      <c r="H32" s="380"/>
      <c r="I32" s="237"/>
      <c r="J32" s="362"/>
      <c r="K32" s="362"/>
      <c r="L32" s="362"/>
      <c r="M32" s="381"/>
      <c r="N32" s="141"/>
      <c r="O32" s="121"/>
      <c r="Q32" s="391"/>
      <c r="R32" s="391"/>
      <c r="S32" s="391"/>
      <c r="T32" s="391"/>
      <c r="U32" s="210" t="s">
        <v>87</v>
      </c>
    </row>
    <row r="33" spans="1:23" ht="15.75" thickBot="1" x14ac:dyDescent="0.3">
      <c r="A33" s="121"/>
      <c r="B33" s="141"/>
      <c r="C33" s="163"/>
      <c r="D33" s="247"/>
      <c r="E33" s="396" t="s">
        <v>99</v>
      </c>
      <c r="F33" s="660">
        <v>0</v>
      </c>
      <c r="G33" s="374" t="s">
        <v>90</v>
      </c>
      <c r="H33" s="380"/>
      <c r="I33" s="237"/>
      <c r="J33" s="362"/>
      <c r="K33" s="362"/>
      <c r="L33" s="362"/>
      <c r="M33" s="381"/>
      <c r="N33" s="141"/>
      <c r="O33" s="121"/>
      <c r="Q33" s="393" t="str">
        <f t="shared" ref="Q33:Q35" si="2">E33</f>
        <v>arbeidstimer helg</v>
      </c>
      <c r="R33" s="394">
        <f t="shared" ref="R33:R35" si="3">F33</f>
        <v>0</v>
      </c>
      <c r="S33" s="393"/>
      <c r="T33" s="379" t="s">
        <v>87</v>
      </c>
      <c r="U33" s="210" t="s">
        <v>87</v>
      </c>
    </row>
    <row r="34" spans="1:23" ht="16.5" thickTop="1" thickBot="1" x14ac:dyDescent="0.3">
      <c r="A34" s="121"/>
      <c r="B34" s="141"/>
      <c r="C34" s="163"/>
      <c r="D34" s="247"/>
      <c r="E34" s="396" t="s">
        <v>100</v>
      </c>
      <c r="F34" s="661">
        <v>0</v>
      </c>
      <c r="G34" s="374" t="s">
        <v>90</v>
      </c>
      <c r="H34" s="380"/>
      <c r="I34" s="237"/>
      <c r="J34" s="362"/>
      <c r="K34" s="362"/>
      <c r="L34" s="362"/>
      <c r="M34" s="381"/>
      <c r="N34" s="141"/>
      <c r="O34" s="121"/>
      <c r="Q34" s="253" t="str">
        <f t="shared" si="2"/>
        <v>arbeidstimer helligdag</v>
      </c>
      <c r="R34" s="389">
        <f t="shared" si="3"/>
        <v>0</v>
      </c>
      <c r="S34" s="253"/>
      <c r="T34" s="379" t="s">
        <v>87</v>
      </c>
      <c r="U34" s="210" t="s">
        <v>87</v>
      </c>
    </row>
    <row r="35" spans="1:23" ht="15.75" thickTop="1" x14ac:dyDescent="0.25">
      <c r="A35" s="121"/>
      <c r="B35" s="141"/>
      <c r="C35" s="163"/>
      <c r="D35" s="247"/>
      <c r="E35" s="396" t="s">
        <v>101</v>
      </c>
      <c r="F35" s="661">
        <v>0</v>
      </c>
      <c r="G35" s="374" t="s">
        <v>90</v>
      </c>
      <c r="H35" s="380"/>
      <c r="I35" s="237"/>
      <c r="J35" s="362"/>
      <c r="K35" s="362"/>
      <c r="L35" s="362"/>
      <c r="M35" s="381"/>
      <c r="N35" s="141"/>
      <c r="O35" s="121"/>
      <c r="Q35" s="253" t="str">
        <f t="shared" si="2"/>
        <v>arbeidstimer helligdag helg</v>
      </c>
      <c r="R35" s="389">
        <f t="shared" si="3"/>
        <v>0</v>
      </c>
      <c r="S35" s="253"/>
      <c r="T35" s="379" t="s">
        <v>87</v>
      </c>
      <c r="U35" s="210" t="s">
        <v>87</v>
      </c>
    </row>
    <row r="36" spans="1:23" x14ac:dyDescent="0.25">
      <c r="A36" s="121"/>
      <c r="B36" s="141"/>
      <c r="C36" s="163"/>
      <c r="D36" s="256"/>
      <c r="E36" s="398"/>
      <c r="F36" s="398"/>
      <c r="G36" s="399"/>
      <c r="H36" s="400"/>
      <c r="I36" s="237"/>
      <c r="J36" s="362"/>
      <c r="K36" s="362"/>
      <c r="L36" s="362"/>
      <c r="M36" s="381"/>
      <c r="N36" s="141"/>
      <c r="O36" s="121"/>
      <c r="Q36" s="353"/>
      <c r="R36" s="353"/>
      <c r="S36" s="353"/>
      <c r="T36" s="353"/>
      <c r="U36" s="210" t="s">
        <v>87</v>
      </c>
    </row>
    <row r="37" spans="1:23" ht="8.1" customHeight="1" x14ac:dyDescent="0.25">
      <c r="A37" s="121"/>
      <c r="B37" s="141"/>
      <c r="C37" s="163"/>
      <c r="D37" s="164"/>
      <c r="E37" s="382"/>
      <c r="F37" s="382"/>
      <c r="G37" s="401"/>
      <c r="H37" s="382"/>
      <c r="I37" s="237"/>
      <c r="J37" s="362"/>
      <c r="K37" s="362"/>
      <c r="L37" s="362"/>
      <c r="M37" s="381"/>
      <c r="N37" s="141"/>
      <c r="O37" s="121"/>
      <c r="Q37" s="402"/>
      <c r="R37" s="402"/>
      <c r="S37" s="402"/>
      <c r="T37" s="402"/>
      <c r="U37" s="210" t="s">
        <v>87</v>
      </c>
    </row>
    <row r="38" spans="1:23" ht="30" customHeight="1" x14ac:dyDescent="0.35">
      <c r="A38" s="355"/>
      <c r="B38" s="356"/>
      <c r="C38" s="357"/>
      <c r="D38" s="358" t="s">
        <v>102</v>
      </c>
      <c r="E38" s="359"/>
      <c r="F38" s="360"/>
      <c r="G38" s="359"/>
      <c r="H38" s="361"/>
      <c r="I38" s="403"/>
      <c r="J38" s="403"/>
      <c r="K38" s="363"/>
      <c r="L38" s="363"/>
      <c r="M38" s="364"/>
      <c r="N38" s="356"/>
      <c r="O38" s="355"/>
      <c r="P38" s="363"/>
      <c r="Q38" s="365"/>
      <c r="R38" s="365"/>
      <c r="S38" s="365"/>
      <c r="T38" s="365"/>
      <c r="U38" s="210" t="s">
        <v>87</v>
      </c>
      <c r="W38" s="363"/>
    </row>
    <row r="39" spans="1:23" ht="8.1" customHeight="1" x14ac:dyDescent="0.25">
      <c r="A39" s="121"/>
      <c r="B39" s="158"/>
      <c r="C39" s="366"/>
      <c r="D39" s="404"/>
      <c r="E39" s="405"/>
      <c r="F39" s="368"/>
      <c r="G39" s="219"/>
      <c r="H39" s="369"/>
      <c r="I39" s="237"/>
      <c r="J39" s="576"/>
      <c r="K39" s="219"/>
      <c r="L39" s="219"/>
      <c r="M39" s="371"/>
      <c r="N39" s="158"/>
      <c r="O39" s="121"/>
      <c r="P39" s="219"/>
      <c r="Q39" s="402"/>
      <c r="R39" s="402"/>
      <c r="S39" s="402"/>
      <c r="T39" s="402"/>
      <c r="U39" s="210" t="s">
        <v>87</v>
      </c>
      <c r="V39" s="354"/>
      <c r="W39" s="219"/>
    </row>
    <row r="40" spans="1:23" ht="15.75" thickBot="1" x14ac:dyDescent="0.3">
      <c r="A40" s="121"/>
      <c r="B40" s="141"/>
      <c r="C40" s="163"/>
      <c r="D40" s="247"/>
      <c r="E40" s="373" t="s">
        <v>103</v>
      </c>
      <c r="F40" s="651"/>
      <c r="G40" s="374" t="s">
        <v>90</v>
      </c>
      <c r="H40" s="380"/>
      <c r="I40" s="237" t="str">
        <f t="shared" ref="I40:I41" si="4">S40</f>
        <v xml:space="preserve">*obligatorisk </v>
      </c>
      <c r="J40" s="362"/>
      <c r="K40" s="362"/>
      <c r="L40" s="362"/>
      <c r="M40" s="381"/>
      <c r="N40" s="141"/>
      <c r="O40" s="121"/>
      <c r="P40" s="575" t="str">
        <f>P18&amp;"b"</f>
        <v>1b</v>
      </c>
      <c r="Q40" s="253" t="s">
        <v>104</v>
      </c>
      <c r="R40" s="406"/>
      <c r="S40" s="253" t="str" cm="1">
        <f t="array" ref="S40">_xlfn.IFS(F40="",$R$7,TRUE,"")</f>
        <v xml:space="preserve">*obligatorisk </v>
      </c>
      <c r="T40" s="379" t="s">
        <v>87</v>
      </c>
      <c r="U40" s="210" t="s">
        <v>87</v>
      </c>
    </row>
    <row r="41" spans="1:23" ht="15.75" thickTop="1" x14ac:dyDescent="0.25">
      <c r="A41" s="121"/>
      <c r="B41" s="141"/>
      <c r="C41" s="163"/>
      <c r="D41" s="247"/>
      <c r="E41" s="373" t="s">
        <v>105</v>
      </c>
      <c r="F41" s="652" t="s">
        <v>129</v>
      </c>
      <c r="G41" s="374" t="s">
        <v>90</v>
      </c>
      <c r="H41" s="380"/>
      <c r="I41" s="237" t="str">
        <f t="shared" si="4"/>
        <v xml:space="preserve">*obligatorisk </v>
      </c>
      <c r="J41" s="407"/>
      <c r="K41" s="408"/>
      <c r="L41" s="408"/>
      <c r="M41" s="381"/>
      <c r="N41" s="141"/>
      <c r="O41" s="121"/>
      <c r="Q41" s="253" t="str">
        <f>E41</f>
        <v>alminnelig arbeidstid for full stilling</v>
      </c>
      <c r="R41" s="389">
        <f>_xlfn.XLOOKUP(F41,Innstillinger!$B$48:$B$53,Innstillinger!$C$48:$C$53,0,)</f>
        <v>0</v>
      </c>
      <c r="S41" s="253" t="str" cm="1">
        <f t="array" ref="S41">_xlfn.IFS(F41="",$R$7,F41=Innstillinger!$B$8,$R$7,TRUE,"")</f>
        <v xml:space="preserve">*obligatorisk </v>
      </c>
      <c r="T41" s="379" t="s">
        <v>87</v>
      </c>
      <c r="U41" s="210" t="s">
        <v>87</v>
      </c>
    </row>
    <row r="42" spans="1:23" ht="8.1" customHeight="1" x14ac:dyDescent="0.25">
      <c r="A42" s="121"/>
      <c r="B42" s="158"/>
      <c r="C42" s="366"/>
      <c r="D42" s="404"/>
      <c r="E42" s="405"/>
      <c r="F42" s="368"/>
      <c r="G42" s="219"/>
      <c r="H42" s="369"/>
      <c r="I42" s="237"/>
      <c r="J42" s="576"/>
      <c r="K42" s="219"/>
      <c r="L42" s="219"/>
      <c r="M42" s="371"/>
      <c r="N42" s="158"/>
      <c r="O42" s="121"/>
      <c r="P42" s="219"/>
      <c r="Q42" s="402"/>
      <c r="R42" s="402"/>
      <c r="S42" s="402"/>
      <c r="T42" s="402"/>
      <c r="U42" s="210" t="s">
        <v>87</v>
      </c>
      <c r="V42" s="354"/>
      <c r="W42" s="219"/>
    </row>
    <row r="43" spans="1:23" x14ac:dyDescent="0.25">
      <c r="A43" s="121"/>
      <c r="B43" s="141"/>
      <c r="C43" s="163"/>
      <c r="D43" s="247"/>
      <c r="E43" s="384" t="s">
        <v>107</v>
      </c>
      <c r="F43" s="409"/>
      <c r="G43" s="374"/>
      <c r="H43" s="380"/>
      <c r="I43" s="237"/>
      <c r="J43" s="362"/>
      <c r="K43" s="362"/>
      <c r="L43" s="362"/>
      <c r="M43" s="381"/>
      <c r="N43" s="141"/>
      <c r="O43" s="121"/>
      <c r="Q43" s="410"/>
      <c r="R43" s="411"/>
      <c r="S43" s="410"/>
      <c r="T43" s="410"/>
      <c r="U43" s="210" t="s">
        <v>87</v>
      </c>
    </row>
    <row r="44" spans="1:23" ht="15.75" thickBot="1" x14ac:dyDescent="0.3">
      <c r="A44" s="121"/>
      <c r="B44" s="141"/>
      <c r="C44" s="163"/>
      <c r="D44" s="247"/>
      <c r="E44" s="373" t="s">
        <v>108</v>
      </c>
      <c r="F44" s="653"/>
      <c r="G44" s="374" t="s">
        <v>90</v>
      </c>
      <c r="H44" s="380"/>
      <c r="I44" s="237" t="str">
        <f>S44</f>
        <v xml:space="preserve">*obligatorisk </v>
      </c>
      <c r="J44" s="362"/>
      <c r="K44" s="386"/>
      <c r="L44" s="386"/>
      <c r="M44" s="381"/>
      <c r="N44" s="141"/>
      <c r="O44" s="121"/>
      <c r="Q44" s="253" t="str">
        <f>E44</f>
        <v>årslønn for full stilling</v>
      </c>
      <c r="R44" s="412">
        <f>F44</f>
        <v>0</v>
      </c>
      <c r="S44" s="253" t="str" cm="1">
        <f t="array" ref="S44">_xlfn.IFS(R44=0,$R$7,ISERROR(R59)=TRUE,"",R59&gt;$R$5,$R$9,TRUE,"")</f>
        <v xml:space="preserve">*obligatorisk </v>
      </c>
      <c r="T44" s="379" t="s">
        <v>87</v>
      </c>
      <c r="U44" s="210" t="s">
        <v>87</v>
      </c>
    </row>
    <row r="45" spans="1:23" ht="16.5" thickTop="1" thickBot="1" x14ac:dyDescent="0.3">
      <c r="A45" s="121"/>
      <c r="B45" s="141"/>
      <c r="C45" s="163"/>
      <c r="D45" s="247"/>
      <c r="E45" s="413" t="s">
        <v>109</v>
      </c>
      <c r="F45" s="654">
        <v>0</v>
      </c>
      <c r="G45" s="374" t="s">
        <v>90</v>
      </c>
      <c r="H45" s="380"/>
      <c r="I45" s="237" t="str">
        <f t="shared" ref="I45" si="5">S45</f>
        <v/>
      </c>
      <c r="J45" s="362"/>
      <c r="K45" s="386"/>
      <c r="L45" s="386"/>
      <c r="M45" s="381"/>
      <c r="N45" s="141"/>
      <c r="O45" s="121"/>
      <c r="Q45" s="253" t="str">
        <f t="shared" ref="Q45:Q48" si="6">E45</f>
        <v xml:space="preserve">timetillegg kveld </v>
      </c>
      <c r="R45" s="412">
        <f>F45</f>
        <v>0</v>
      </c>
      <c r="S45" s="253" t="str" cm="1">
        <f t="array" ref="S45">_xlfn.IFS(AND(R30&gt;0,R45=0),$R$7,TRUE,"")</f>
        <v/>
      </c>
      <c r="T45" s="414">
        <f>R45*R30</f>
        <v>0</v>
      </c>
      <c r="U45" s="210" t="s">
        <v>87</v>
      </c>
    </row>
    <row r="46" spans="1:23" ht="16.5" thickTop="1" thickBot="1" x14ac:dyDescent="0.3">
      <c r="A46" s="121"/>
      <c r="B46" s="141"/>
      <c r="C46" s="163"/>
      <c r="D46" s="247"/>
      <c r="E46" s="413" t="s">
        <v>110</v>
      </c>
      <c r="F46" s="655">
        <v>0</v>
      </c>
      <c r="G46" s="374" t="s">
        <v>90</v>
      </c>
      <c r="H46" s="380"/>
      <c r="I46" s="237" t="str">
        <f>S46</f>
        <v/>
      </c>
      <c r="J46" s="362"/>
      <c r="K46" s="386"/>
      <c r="L46" s="386"/>
      <c r="M46" s="381"/>
      <c r="N46" s="141"/>
      <c r="O46" s="121"/>
      <c r="Q46" s="253" t="str">
        <f t="shared" si="6"/>
        <v xml:space="preserve">timetillegg natt </v>
      </c>
      <c r="R46" s="412">
        <f t="shared" ref="R46:R47" si="7">F46</f>
        <v>0</v>
      </c>
      <c r="S46" s="253" t="str" cm="1">
        <f t="array" ref="S46">_xlfn.IFS(AND(R31&gt;0,R46=0),$R$7,TRUE,"")</f>
        <v/>
      </c>
      <c r="T46" s="414">
        <f>R46*R31</f>
        <v>0</v>
      </c>
      <c r="U46" s="210" t="s">
        <v>87</v>
      </c>
    </row>
    <row r="47" spans="1:23" ht="16.5" thickTop="1" thickBot="1" x14ac:dyDescent="0.3">
      <c r="A47" s="121"/>
      <c r="B47" s="141"/>
      <c r="C47" s="163"/>
      <c r="D47" s="247"/>
      <c r="E47" s="413" t="s">
        <v>111</v>
      </c>
      <c r="F47" s="654">
        <v>0</v>
      </c>
      <c r="G47" s="374" t="s">
        <v>90</v>
      </c>
      <c r="H47" s="380"/>
      <c r="I47" s="237" t="str">
        <f>S47</f>
        <v/>
      </c>
      <c r="J47" s="362"/>
      <c r="K47" s="386"/>
      <c r="L47" s="386"/>
      <c r="M47" s="381"/>
      <c r="N47" s="141"/>
      <c r="O47" s="121"/>
      <c r="Q47" s="253" t="str">
        <f t="shared" si="6"/>
        <v>timetillegg helg</v>
      </c>
      <c r="R47" s="412">
        <f t="shared" si="7"/>
        <v>0</v>
      </c>
      <c r="S47" s="253" t="str" cm="1">
        <f t="array" ref="S47">_xlfn.IFS(AND(R33&gt;0,R47=0),$R$7,TRUE,"")</f>
        <v/>
      </c>
      <c r="T47" s="414">
        <f>R47*R33</f>
        <v>0</v>
      </c>
      <c r="U47" s="210" t="s">
        <v>87</v>
      </c>
    </row>
    <row r="48" spans="1:23" ht="15.75" thickTop="1" x14ac:dyDescent="0.25">
      <c r="A48" s="121"/>
      <c r="B48" s="141"/>
      <c r="C48" s="163"/>
      <c r="D48" s="247"/>
      <c r="E48" s="413" t="s">
        <v>112</v>
      </c>
      <c r="F48" s="656">
        <v>0</v>
      </c>
      <c r="G48" s="374" t="s">
        <v>90</v>
      </c>
      <c r="H48" s="380"/>
      <c r="I48" s="237" t="str">
        <f>S48</f>
        <v/>
      </c>
      <c r="J48" s="362"/>
      <c r="K48" s="386"/>
      <c r="L48" s="386"/>
      <c r="M48" s="381"/>
      <c r="N48" s="141"/>
      <c r="O48" s="121"/>
      <c r="Q48" s="253" t="str">
        <f t="shared" si="6"/>
        <v>prosenttillegg helligdag</v>
      </c>
      <c r="R48" s="415">
        <f>F48</f>
        <v>0</v>
      </c>
      <c r="S48" s="253" t="str" cm="1">
        <f t="array" ref="S48">_xlfn.IFS(AND(OR(R34&gt;0,R35&gt;0),R48=0),$R$7,TRUE,"")</f>
        <v/>
      </c>
      <c r="T48" s="414" t="e">
        <f>((R48*R34*T29*R57)+(R48*R34*T30*(R57+R45))+(R48*R34*T31*(R57+R46)))+((R48*R35*T29*(R57+R47))+(R48*R35*T30*(R57+R45+R47))+(R48*R35*T31*(R57+R46+R47)))</f>
        <v>#DIV/0!</v>
      </c>
      <c r="U48" s="210" t="s">
        <v>87</v>
      </c>
      <c r="V48" s="416"/>
    </row>
    <row r="49" spans="1:23" x14ac:dyDescent="0.25">
      <c r="A49" s="121"/>
      <c r="B49" s="141"/>
      <c r="C49" s="163"/>
      <c r="D49" s="247"/>
      <c r="E49" s="417" t="s">
        <v>113</v>
      </c>
      <c r="F49" s="418"/>
      <c r="G49" s="419"/>
      <c r="H49" s="380"/>
      <c r="I49" s="420"/>
      <c r="J49" s="407"/>
      <c r="K49" s="407"/>
      <c r="L49" s="407"/>
      <c r="M49" s="381"/>
      <c r="N49" s="141"/>
      <c r="O49" s="121"/>
      <c r="Q49" s="402"/>
      <c r="R49" s="402"/>
      <c r="S49" s="402"/>
      <c r="T49" s="402"/>
      <c r="U49" s="210" t="s">
        <v>87</v>
      </c>
    </row>
    <row r="50" spans="1:23" ht="8.1" customHeight="1" thickBot="1" x14ac:dyDescent="0.3">
      <c r="A50" s="121"/>
      <c r="B50" s="141"/>
      <c r="C50" s="163"/>
      <c r="D50" s="247"/>
      <c r="E50" s="249"/>
      <c r="F50" s="390"/>
      <c r="G50" s="185"/>
      <c r="H50" s="380"/>
      <c r="I50" s="386"/>
      <c r="J50" s="362"/>
      <c r="K50" s="362"/>
      <c r="L50" s="362"/>
      <c r="M50" s="381"/>
      <c r="N50" s="141"/>
      <c r="O50" s="121"/>
      <c r="Q50" s="402"/>
      <c r="R50" s="402"/>
      <c r="S50" s="402"/>
      <c r="T50" s="402"/>
      <c r="U50" s="210" t="s">
        <v>87</v>
      </c>
    </row>
    <row r="51" spans="1:23" ht="15.75" thickTop="1" x14ac:dyDescent="0.25">
      <c r="A51" s="121"/>
      <c r="B51" s="141"/>
      <c r="C51" s="163"/>
      <c r="D51" s="247"/>
      <c r="E51" s="384" t="s">
        <v>114</v>
      </c>
      <c r="F51" s="409"/>
      <c r="G51" s="374"/>
      <c r="H51" s="380"/>
      <c r="I51" s="386"/>
      <c r="J51" s="362"/>
      <c r="K51" s="362"/>
      <c r="L51" s="362"/>
      <c r="M51" s="381"/>
      <c r="N51" s="141"/>
      <c r="O51" s="121"/>
      <c r="Q51" s="410"/>
      <c r="R51" s="411"/>
      <c r="S51" s="410"/>
      <c r="T51" s="410"/>
      <c r="U51" s="210" t="s">
        <v>87</v>
      </c>
    </row>
    <row r="52" spans="1:23" ht="15.75" thickBot="1" x14ac:dyDescent="0.3">
      <c r="A52" s="121"/>
      <c r="B52" s="141"/>
      <c r="C52" s="163"/>
      <c r="D52" s="247"/>
      <c r="E52" s="373" t="s">
        <v>115</v>
      </c>
      <c r="F52" s="643" t="s">
        <v>129</v>
      </c>
      <c r="G52" s="374" t="s">
        <v>90</v>
      </c>
      <c r="H52" s="380"/>
      <c r="I52" s="237" t="str">
        <f t="shared" ref="I52" si="8">S52</f>
        <v xml:space="preserve">*obligatorisk </v>
      </c>
      <c r="J52" s="421"/>
      <c r="K52" s="421"/>
      <c r="L52" s="421"/>
      <c r="M52" s="381"/>
      <c r="N52" s="141"/>
      <c r="O52" s="121"/>
      <c r="Q52" s="253" t="str">
        <f>E52</f>
        <v>sats feriepenger</v>
      </c>
      <c r="R52" s="422" t="str">
        <f>F52</f>
        <v>Velg fra liste….</v>
      </c>
      <c r="S52" s="253" t="str" cm="1">
        <f t="array" ref="S52">_xlfn.IFS(F52="",$R$7,F52=Innstillinger!$B$8,$R$7,TRUE,"")</f>
        <v xml:space="preserve">*obligatorisk </v>
      </c>
      <c r="T52" s="379" t="s">
        <v>87</v>
      </c>
      <c r="U52" s="210" t="s">
        <v>87</v>
      </c>
    </row>
    <row r="53" spans="1:23" ht="16.5" thickTop="1" thickBot="1" x14ac:dyDescent="0.3">
      <c r="A53" s="121"/>
      <c r="B53" s="141"/>
      <c r="C53" s="163"/>
      <c r="D53" s="247"/>
      <c r="E53" s="373" t="s">
        <v>116</v>
      </c>
      <c r="F53" s="648">
        <v>0.11</v>
      </c>
      <c r="G53" s="374" t="s">
        <v>90</v>
      </c>
      <c r="H53" s="573"/>
      <c r="I53" s="237"/>
      <c r="J53" s="362"/>
      <c r="K53" s="423"/>
      <c r="L53" s="423"/>
      <c r="M53" s="381"/>
      <c r="N53" s="141"/>
      <c r="O53" s="121"/>
      <c r="Q53" s="253" t="str">
        <f>E53</f>
        <v>sats pensjon</v>
      </c>
      <c r="R53" s="422">
        <f>F53+F54</f>
        <v>0.09</v>
      </c>
      <c r="S53" s="253"/>
      <c r="T53" s="379" t="s">
        <v>87</v>
      </c>
      <c r="U53" s="210" t="s">
        <v>87</v>
      </c>
    </row>
    <row r="54" spans="1:23" ht="16.5" thickTop="1" thickBot="1" x14ac:dyDescent="0.3">
      <c r="A54" s="121"/>
      <c r="B54" s="141"/>
      <c r="C54" s="163"/>
      <c r="D54" s="247"/>
      <c r="E54" s="413" t="s">
        <v>279</v>
      </c>
      <c r="F54" s="666">
        <v>-0.02</v>
      </c>
      <c r="G54" s="374" t="s">
        <v>90</v>
      </c>
      <c r="H54" s="573"/>
      <c r="I54" s="237" t="str">
        <f t="shared" ref="I54:I55" si="9">S54</f>
        <v/>
      </c>
      <c r="J54" s="362"/>
      <c r="K54" s="423"/>
      <c r="L54" s="423"/>
      <c r="M54" s="381"/>
      <c r="N54" s="141"/>
      <c r="O54" s="121"/>
      <c r="Q54" s="253"/>
      <c r="R54" s="422"/>
      <c r="S54" s="253" t="str" cm="1">
        <f t="array" ref="S54">_xlfn.IFS(F54=0%,$R$9,TRUE,"")</f>
        <v/>
      </c>
      <c r="T54" s="379"/>
    </row>
    <row r="55" spans="1:23" ht="15.75" thickTop="1" x14ac:dyDescent="0.25">
      <c r="A55" s="121"/>
      <c r="B55" s="141"/>
      <c r="C55" s="163"/>
      <c r="D55" s="247"/>
      <c r="E55" s="424" t="s">
        <v>117</v>
      </c>
      <c r="F55" s="644" t="s">
        <v>129</v>
      </c>
      <c r="G55" s="374" t="s">
        <v>90</v>
      </c>
      <c r="H55" s="380"/>
      <c r="I55" s="237" t="str">
        <f t="shared" si="9"/>
        <v xml:space="preserve">*obligatorisk </v>
      </c>
      <c r="J55" s="423"/>
      <c r="K55" s="237"/>
      <c r="L55" s="237"/>
      <c r="M55" s="381"/>
      <c r="N55" s="141"/>
      <c r="O55" s="121"/>
      <c r="Q55" s="253" t="str">
        <f>E55</f>
        <v>sats arbeidsgiveravgift</v>
      </c>
      <c r="R55" s="422" t="str">
        <f>F55</f>
        <v>Velg fra liste….</v>
      </c>
      <c r="S55" s="253" t="str" cm="1">
        <f t="array" ref="S55">_xlfn.IFS(F55="",$R$7,F55=Innstillinger!$B$8,$R$7,TRUE,"")</f>
        <v xml:space="preserve">*obligatorisk </v>
      </c>
      <c r="T55" s="379" t="s">
        <v>87</v>
      </c>
      <c r="U55" s="210" t="s">
        <v>87</v>
      </c>
    </row>
    <row r="56" spans="1:23" x14ac:dyDescent="0.25">
      <c r="A56" s="121"/>
      <c r="B56" s="141"/>
      <c r="C56" s="163"/>
      <c r="D56" s="247"/>
      <c r="E56" s="417" t="s">
        <v>118</v>
      </c>
      <c r="F56" s="418"/>
      <c r="G56" s="419"/>
      <c r="H56" s="380"/>
      <c r="I56" s="425"/>
      <c r="J56" s="407"/>
      <c r="K56" s="407"/>
      <c r="L56" s="407"/>
      <c r="M56" s="381"/>
      <c r="N56" s="141"/>
      <c r="O56" s="121"/>
      <c r="Q56" s="426" t="s">
        <v>119</v>
      </c>
      <c r="R56" s="427" t="str" cm="1">
        <f t="array" ref="R56">_xlfn.IFS(ISERROR(R70),"Nei",COUNTIF(I19:I55,$R$7)=0,"Ja",TRUE,"Nei")</f>
        <v>Nei</v>
      </c>
      <c r="S56" s="353"/>
      <c r="T56" s="353"/>
      <c r="U56" s="210" t="s">
        <v>87</v>
      </c>
      <c r="V56" s="210" t="s">
        <v>87</v>
      </c>
    </row>
    <row r="57" spans="1:23" ht="8.1" customHeight="1" x14ac:dyDescent="0.25">
      <c r="A57" s="121"/>
      <c r="B57" s="141"/>
      <c r="C57" s="163"/>
      <c r="D57" s="247"/>
      <c r="E57" s="249"/>
      <c r="F57" s="392"/>
      <c r="G57" s="185"/>
      <c r="H57" s="380"/>
      <c r="I57" s="425"/>
      <c r="J57" s="362"/>
      <c r="K57" s="362"/>
      <c r="L57" s="362"/>
      <c r="M57" s="381"/>
      <c r="N57" s="141"/>
      <c r="O57" s="121"/>
      <c r="Q57" s="372"/>
      <c r="R57" s="372"/>
      <c r="S57" s="372"/>
      <c r="T57" s="372"/>
      <c r="U57" s="210" t="s">
        <v>87</v>
      </c>
      <c r="V57" s="210" t="s">
        <v>87</v>
      </c>
    </row>
    <row r="58" spans="1:23" ht="15.75" thickBot="1" x14ac:dyDescent="0.3">
      <c r="A58" s="121"/>
      <c r="B58" s="141"/>
      <c r="C58" s="163"/>
      <c r="D58" s="247"/>
      <c r="E58" s="373" t="s">
        <v>120</v>
      </c>
      <c r="F58" s="428" t="str">
        <f>IF(R56="nei","",R58)</f>
        <v/>
      </c>
      <c r="G58" s="429"/>
      <c r="H58" s="380"/>
      <c r="I58" s="425" t="str">
        <f>S58</f>
        <v/>
      </c>
      <c r="J58" s="430"/>
      <c r="K58" s="430"/>
      <c r="L58" s="430"/>
      <c r="M58" s="381"/>
      <c r="N58" s="141"/>
      <c r="O58" s="121"/>
      <c r="P58" s="431"/>
      <c r="Q58" s="253" t="s">
        <v>43</v>
      </c>
      <c r="R58" s="432" t="e">
        <f>R44/R41/52</f>
        <v>#DIV/0!</v>
      </c>
      <c r="S58" s="253" t="str" cm="1">
        <f t="array" ref="S58">_xlfn.IFS(AND(I70=TRUE,R56="NEI"),$R$10,I70=TRUE,T58,TRUE,"")</f>
        <v/>
      </c>
      <c r="T58" s="433" t="e">
        <f>"➡️ "&amp;TEXT(R58,"# ##0")&amp;" kr =  "&amp;TEXT(R44,"# ##0")&amp;" kr årslønnn ÷  "&amp;TEXT(R41,"#,##")&amp;" timer/uke  ÷  52 uker"</f>
        <v>#DIV/0!</v>
      </c>
      <c r="U58" s="210" t="s">
        <v>87</v>
      </c>
    </row>
    <row r="59" spans="1:23" ht="15.75" thickTop="1" x14ac:dyDescent="0.25">
      <c r="A59" s="121"/>
      <c r="B59" s="141"/>
      <c r="C59" s="163"/>
      <c r="D59" s="247"/>
      <c r="E59" s="373" t="s">
        <v>121</v>
      </c>
      <c r="F59" s="434" t="str">
        <f>IF(R56="nei","",R59)</f>
        <v/>
      </c>
      <c r="G59" s="429"/>
      <c r="H59" s="380"/>
      <c r="I59" s="425" t="str">
        <f>S59</f>
        <v/>
      </c>
      <c r="J59" s="435"/>
      <c r="K59" s="435"/>
      <c r="L59" s="435"/>
      <c r="M59" s="381"/>
      <c r="N59" s="141"/>
      <c r="O59" s="121"/>
      <c r="Q59" s="253" t="s">
        <v>121</v>
      </c>
      <c r="R59" s="412" t="e">
        <f>(R58*(1+R52+R53+(R52*R53))*(1+R55))</f>
        <v>#DIV/0!</v>
      </c>
      <c r="S59" s="253" t="str" cm="1">
        <f t="array" ref="S59">_xlfn.IFS(AND(I70=TRUE,R56="NEI"),$R$10,I70=TRUE,T59,TRUE,"")</f>
        <v/>
      </c>
      <c r="T59" s="433" t="e">
        <f>"➡️ "&amp;TEXT(R59,"# ##0")&amp;" kr =  "&amp;TEXT(R58,"# ##0,00")&amp;" kr timelønn, uten sosiale utgifter x  sosiale utgifter"</f>
        <v>#DIV/0!</v>
      </c>
      <c r="U59" s="210" t="s">
        <v>87</v>
      </c>
    </row>
    <row r="60" spans="1:23" x14ac:dyDescent="0.25">
      <c r="A60" s="121"/>
      <c r="B60" s="141"/>
      <c r="C60" s="163"/>
      <c r="D60" s="256"/>
      <c r="E60" s="398"/>
      <c r="F60" s="398"/>
      <c r="G60" s="399"/>
      <c r="H60" s="400"/>
      <c r="I60" s="425"/>
      <c r="J60" s="362"/>
      <c r="K60" s="423"/>
      <c r="L60" s="423"/>
      <c r="M60" s="381"/>
      <c r="N60" s="141"/>
      <c r="O60" s="121"/>
      <c r="Q60" s="402"/>
      <c r="R60" s="402"/>
      <c r="S60" s="402"/>
      <c r="T60" s="402"/>
      <c r="U60" s="210" t="s">
        <v>87</v>
      </c>
    </row>
    <row r="61" spans="1:23" ht="8.1" customHeight="1" x14ac:dyDescent="0.25">
      <c r="A61" s="121"/>
      <c r="B61" s="141"/>
      <c r="C61" s="163"/>
      <c r="D61" s="164"/>
      <c r="E61" s="382"/>
      <c r="F61" s="382"/>
      <c r="G61" s="401"/>
      <c r="H61" s="382"/>
      <c r="I61" s="425"/>
      <c r="J61" s="362"/>
      <c r="K61" s="362"/>
      <c r="L61" s="362"/>
      <c r="M61" s="381"/>
      <c r="N61" s="141"/>
      <c r="O61" s="121"/>
      <c r="Q61" s="402"/>
      <c r="R61" s="402"/>
      <c r="S61" s="402"/>
      <c r="T61" s="402"/>
      <c r="U61" s="210" t="s">
        <v>87</v>
      </c>
    </row>
    <row r="62" spans="1:23" ht="30" customHeight="1" x14ac:dyDescent="0.35">
      <c r="A62" s="355"/>
      <c r="B62" s="356"/>
      <c r="C62" s="357"/>
      <c r="D62" s="358" t="s">
        <v>10</v>
      </c>
      <c r="E62" s="359"/>
      <c r="F62" s="360"/>
      <c r="G62" s="359"/>
      <c r="H62" s="361"/>
      <c r="I62" s="436"/>
      <c r="J62" s="363"/>
      <c r="K62" s="363"/>
      <c r="L62" s="363"/>
      <c r="M62" s="364"/>
      <c r="N62" s="356"/>
      <c r="O62" s="355"/>
      <c r="P62" s="363"/>
      <c r="Q62" s="365"/>
      <c r="R62" s="365"/>
      <c r="S62" s="365"/>
      <c r="T62" s="365"/>
      <c r="U62" s="210" t="s">
        <v>87</v>
      </c>
      <c r="W62" s="363"/>
    </row>
    <row r="63" spans="1:23" ht="8.1" customHeight="1" x14ac:dyDescent="0.25">
      <c r="A63" s="121"/>
      <c r="B63" s="158"/>
      <c r="C63" s="366"/>
      <c r="D63" s="404"/>
      <c r="E63" s="405"/>
      <c r="F63" s="368"/>
      <c r="G63" s="219"/>
      <c r="H63" s="369"/>
      <c r="I63" s="370"/>
      <c r="J63" s="219"/>
      <c r="K63" s="219"/>
      <c r="L63" s="219"/>
      <c r="M63" s="371"/>
      <c r="N63" s="158"/>
      <c r="O63" s="121"/>
      <c r="P63" s="219"/>
      <c r="Q63" s="402"/>
      <c r="R63" s="402"/>
      <c r="S63" s="402"/>
      <c r="T63" s="402"/>
      <c r="U63" s="210" t="s">
        <v>87</v>
      </c>
      <c r="V63" s="354"/>
      <c r="W63" s="219"/>
    </row>
    <row r="64" spans="1:23" ht="15.75" thickBot="1" x14ac:dyDescent="0.3">
      <c r="A64" s="121"/>
      <c r="B64" s="141"/>
      <c r="C64" s="163"/>
      <c r="D64" s="247"/>
      <c r="E64" s="382" t="s">
        <v>122</v>
      </c>
      <c r="F64" s="437" t="str">
        <f>IF(R56="nei","",R64)</f>
        <v/>
      </c>
      <c r="G64" s="438"/>
      <c r="H64" s="380"/>
      <c r="I64" s="425" t="str">
        <f t="shared" ref="I64:I68" si="10">S64</f>
        <v/>
      </c>
      <c r="J64" s="439"/>
      <c r="K64" s="439"/>
      <c r="L64" s="439"/>
      <c r="M64" s="381"/>
      <c r="N64" s="141"/>
      <c r="O64" s="121"/>
      <c r="P64" s="440"/>
      <c r="Q64" s="253" t="s">
        <v>122</v>
      </c>
      <c r="R64" s="441" t="e">
        <f>R27*R58</f>
        <v>#DIV/0!</v>
      </c>
      <c r="S64" s="253" t="str" cm="1">
        <f t="array" ref="S64">_xlfn.IFS(AND(I70=TRUE,R56="NEI"),$R$10,I70=TRUE,T64,TRUE,"")</f>
        <v/>
      </c>
      <c r="T64" s="433" t="str">
        <f>"➡️ "&amp;TEXT(F64,"# ##0")&amp;" kr  =   "&amp;F27&amp;" total arbeidstimer  x  "&amp;TEXT(F58,"#,##")&amp;" kroner per time"</f>
        <v>➡️  kr  =   0 total arbeidstimer  x   kroner per time</v>
      </c>
      <c r="U64" s="210" t="s">
        <v>87</v>
      </c>
    </row>
    <row r="65" spans="1:21" ht="16.5" thickTop="1" thickBot="1" x14ac:dyDescent="0.3">
      <c r="A65" s="121"/>
      <c r="B65" s="141"/>
      <c r="C65" s="163"/>
      <c r="D65" s="247"/>
      <c r="E65" s="382" t="s">
        <v>123</v>
      </c>
      <c r="F65" s="437" t="str">
        <f>IF(R56="nei","",R65)</f>
        <v/>
      </c>
      <c r="G65" s="438"/>
      <c r="H65" s="380"/>
      <c r="I65" s="425" t="str">
        <f t="shared" si="10"/>
        <v/>
      </c>
      <c r="J65" s="435"/>
      <c r="K65" s="439"/>
      <c r="L65" s="439"/>
      <c r="M65" s="381"/>
      <c r="N65" s="141"/>
      <c r="O65" s="121"/>
      <c r="P65" s="440"/>
      <c r="Q65" s="253" t="s">
        <v>123</v>
      </c>
      <c r="R65" s="412" t="e">
        <f>SUM(T45:T48)</f>
        <v>#DIV/0!</v>
      </c>
      <c r="S65" s="253" t="str" cm="1">
        <f t="array" ref="S65">_xlfn.IFS(AND(I70=TRUE,R56="NEI"),$R$10,I70=TRUE,T65,TRUE,"")</f>
        <v/>
      </c>
      <c r="T65" s="433" t="str">
        <f>"➡️ "&amp;TEXT(F65,"# ##0")&amp;" kr  =  arbeidstimer i helg / natt / kveld / helligdag x timetillegg"</f>
        <v>➡️  kr  =  arbeidstimer i helg / natt / kveld / helligdag x timetillegg</v>
      </c>
      <c r="U65" s="210" t="s">
        <v>87</v>
      </c>
    </row>
    <row r="66" spans="1:21" ht="16.5" thickTop="1" thickBot="1" x14ac:dyDescent="0.3">
      <c r="A66" s="121"/>
      <c r="B66" s="141"/>
      <c r="C66" s="163"/>
      <c r="D66" s="247"/>
      <c r="E66" s="382" t="s">
        <v>33</v>
      </c>
      <c r="F66" s="437" t="str">
        <f>IF(R56="nei","",R66)</f>
        <v/>
      </c>
      <c r="G66" s="438"/>
      <c r="H66" s="380"/>
      <c r="I66" s="425" t="str">
        <f t="shared" si="10"/>
        <v/>
      </c>
      <c r="J66" s="435"/>
      <c r="K66" s="435"/>
      <c r="L66" s="435"/>
      <c r="M66" s="381"/>
      <c r="N66" s="141"/>
      <c r="O66" s="121"/>
      <c r="P66" s="440"/>
      <c r="Q66" s="253" t="s">
        <v>33</v>
      </c>
      <c r="R66" s="412" t="e">
        <f>(R64+R65)*R52</f>
        <v>#DIV/0!</v>
      </c>
      <c r="S66" s="253" t="str" cm="1">
        <f t="array" ref="S66">_xlfn.IFS(AND(I70=TRUE,R56="NEI"),$R$10,I70=TRUE,T66,TRUE,"")</f>
        <v/>
      </c>
      <c r="T66" s="433" t="e">
        <f>"➡️ "&amp;TEXT(F66,"# ##0")&amp;" kr = "&amp;TEXT(F64+F65,"# ##0")&amp;" kr lønn &amp; tillegg  x  "&amp;TEXT(F52,"#,0 %")&amp;" feriepenger sats"</f>
        <v>#VALUE!</v>
      </c>
      <c r="U66" s="210" t="s">
        <v>87</v>
      </c>
    </row>
    <row r="67" spans="1:21" ht="16.5" thickTop="1" thickBot="1" x14ac:dyDescent="0.3">
      <c r="A67" s="121"/>
      <c r="B67" s="141"/>
      <c r="C67" s="163"/>
      <c r="D67" s="247"/>
      <c r="E67" s="382" t="s">
        <v>124</v>
      </c>
      <c r="F67" s="437" t="str">
        <f>IF(R56="nei","",R67)</f>
        <v/>
      </c>
      <c r="G67" s="438"/>
      <c r="H67" s="380"/>
      <c r="I67" s="425" t="str">
        <f t="shared" si="10"/>
        <v/>
      </c>
      <c r="J67" s="435"/>
      <c r="K67" s="435"/>
      <c r="L67" s="435"/>
      <c r="M67" s="381"/>
      <c r="N67" s="141"/>
      <c r="O67" s="121"/>
      <c r="P67" s="440"/>
      <c r="Q67" s="253" t="s">
        <v>124</v>
      </c>
      <c r="R67" s="412" t="e">
        <f>SUM(R64:R66)*R53</f>
        <v>#DIV/0!</v>
      </c>
      <c r="S67" s="253" t="str" cm="1">
        <f t="array" ref="S67">_xlfn.IFS(AND(I70=TRUE,R56="NEI"),$R$10,I70=TRUE,T67,TRUE,"")</f>
        <v/>
      </c>
      <c r="T67" s="433" t="e">
        <f>"➡️ "&amp;TEXT(F67,"# ##0")&amp;" kr  = ("&amp;TEXT(F64+F65,"# ##0")&amp;" kr lønn &amp; tillegg + "&amp;TEXT(F66,"# ##0")&amp;" kr feriepenger) x "&amp;TEXT(F53,"#,0 %")&amp;" pensjon"</f>
        <v>#VALUE!</v>
      </c>
      <c r="U67" s="210" t="s">
        <v>87</v>
      </c>
    </row>
    <row r="68" spans="1:21" ht="16.5" thickTop="1" thickBot="1" x14ac:dyDescent="0.3">
      <c r="A68" s="121"/>
      <c r="B68" s="141"/>
      <c r="C68" s="163"/>
      <c r="D68" s="247"/>
      <c r="E68" s="382" t="s">
        <v>22</v>
      </c>
      <c r="F68" s="437" t="str">
        <f>IF(R56="nei","",R68)</f>
        <v/>
      </c>
      <c r="G68" s="438"/>
      <c r="H68" s="380"/>
      <c r="I68" s="425" t="str">
        <f t="shared" si="10"/>
        <v/>
      </c>
      <c r="J68" s="435"/>
      <c r="K68" s="435"/>
      <c r="L68" s="435"/>
      <c r="M68" s="381"/>
      <c r="N68" s="141"/>
      <c r="O68" s="121"/>
      <c r="P68" s="440"/>
      <c r="Q68" s="253" t="s">
        <v>22</v>
      </c>
      <c r="R68" s="412" t="e">
        <f>SUM(R64:R67)*R55</f>
        <v>#DIV/0!</v>
      </c>
      <c r="S68" s="253" t="str" cm="1">
        <f t="array" ref="S68">_xlfn.IFS(AND(I70=TRUE,R56="NEI"),$R$10,I70=TRUE,T68,TRUE,"")</f>
        <v/>
      </c>
      <c r="T68" s="433" t="e">
        <f>"➡️ "&amp;TEXT(F68,"# ##0")&amp;" kr = ("&amp;TEXT(F64+F65,"# ##0")&amp;" kr lønn + "&amp;TEXT(F66,"# ##0")&amp;" kr f.p. + "&amp;TEXT(F67,"# ##0")&amp;" kr pensjon)  x  "&amp;TEXT(F55,"#,0 %")&amp;" aga "</f>
        <v>#VALUE!</v>
      </c>
      <c r="U68" s="210" t="s">
        <v>87</v>
      </c>
    </row>
    <row r="69" spans="1:21" ht="8.1" customHeight="1" thickTop="1" x14ac:dyDescent="0.25">
      <c r="A69" s="121"/>
      <c r="B69" s="141"/>
      <c r="C69" s="163"/>
      <c r="D69" s="256"/>
      <c r="E69" s="257"/>
      <c r="F69" s="288"/>
      <c r="G69" s="442"/>
      <c r="H69" s="443"/>
      <c r="J69" s="435"/>
      <c r="K69" s="435"/>
      <c r="L69" s="435"/>
      <c r="M69" s="381"/>
      <c r="N69" s="141"/>
      <c r="O69" s="121"/>
      <c r="Q69" s="402"/>
      <c r="R69" s="402"/>
      <c r="S69" s="402"/>
      <c r="T69" s="402"/>
      <c r="U69" s="210" t="s">
        <v>87</v>
      </c>
    </row>
    <row r="70" spans="1:21" ht="18.75" x14ac:dyDescent="0.3">
      <c r="A70" s="121"/>
      <c r="B70" s="158"/>
      <c r="C70" s="445"/>
      <c r="D70" s="446"/>
      <c r="E70" s="447" t="s">
        <v>125</v>
      </c>
      <c r="F70" s="285" t="str">
        <f>IF(R56="nei","",R70)</f>
        <v/>
      </c>
      <c r="G70" s="448"/>
      <c r="H70" s="449"/>
      <c r="I70" s="56" t="b">
        <v>0</v>
      </c>
      <c r="J70" s="450" t="s">
        <v>126</v>
      </c>
      <c r="M70" s="371"/>
      <c r="N70" s="158"/>
      <c r="O70" s="121"/>
      <c r="P70" s="575" t="str">
        <f>P18&amp;"c"</f>
        <v>1c</v>
      </c>
      <c r="Q70" s="253" t="s">
        <v>125</v>
      </c>
      <c r="R70" s="412" t="e">
        <f>SUM(R64:R68)</f>
        <v>#DIV/0!</v>
      </c>
      <c r="S70" s="253"/>
      <c r="T70" s="379" t="s">
        <v>87</v>
      </c>
      <c r="U70" s="210" t="s">
        <v>87</v>
      </c>
    </row>
    <row r="71" spans="1:21" ht="8.1" customHeight="1" x14ac:dyDescent="0.25">
      <c r="A71" s="121"/>
      <c r="B71" s="141"/>
      <c r="C71" s="163"/>
      <c r="D71" s="256"/>
      <c r="E71" s="257"/>
      <c r="F71" s="288"/>
      <c r="G71" s="442"/>
      <c r="H71" s="443"/>
      <c r="J71" s="435"/>
      <c r="K71" s="435"/>
      <c r="L71" s="435"/>
      <c r="M71" s="381"/>
      <c r="N71" s="141"/>
      <c r="O71" s="121"/>
      <c r="Q71" s="402"/>
      <c r="R71" s="402"/>
      <c r="S71" s="402"/>
      <c r="T71" s="402"/>
      <c r="U71" s="210" t="s">
        <v>87</v>
      </c>
    </row>
    <row r="72" spans="1:21" ht="8.1" customHeight="1" x14ac:dyDescent="0.25">
      <c r="A72" s="121"/>
      <c r="B72" s="141"/>
      <c r="C72" s="163"/>
      <c r="D72" s="164"/>
      <c r="E72" s="208"/>
      <c r="F72" s="236"/>
      <c r="G72" s="438"/>
      <c r="H72" s="451"/>
      <c r="J72" s="435"/>
      <c r="K72" s="435"/>
      <c r="L72" s="435"/>
      <c r="M72" s="381"/>
      <c r="N72" s="141"/>
      <c r="O72" s="121"/>
      <c r="Q72" s="402"/>
      <c r="R72" s="402"/>
      <c r="S72" s="402"/>
      <c r="T72" s="402"/>
      <c r="U72" s="210" t="s">
        <v>87</v>
      </c>
    </row>
    <row r="73" spans="1:21" x14ac:dyDescent="0.25">
      <c r="A73" s="121"/>
      <c r="B73" s="141"/>
      <c r="C73" s="163"/>
      <c r="D73" s="452"/>
      <c r="E73" s="81" t="str">
        <f>IF(E74="","Skriv kommentar:","")</f>
        <v>Skriv kommentar:</v>
      </c>
      <c r="F73" s="81"/>
      <c r="G73" s="81"/>
      <c r="H73" s="82"/>
      <c r="J73" s="744" t="str">
        <f>IF(S73&amp;S74="","","⚠️Vi trenger mer informasjon")</f>
        <v/>
      </c>
      <c r="K73" s="745"/>
      <c r="L73" s="746"/>
      <c r="M73" s="381"/>
      <c r="N73" s="141"/>
      <c r="O73" s="121"/>
      <c r="Q73" s="253" t="s">
        <v>127</v>
      </c>
      <c r="R73" s="379"/>
      <c r="S73" s="453" t="str">
        <f>IFERROR(IF(S44=$R$9,IF(R53&gt;$R$6,"1. ","")&amp;$S$5,""),"")</f>
        <v/>
      </c>
      <c r="T73" s="379" t="s">
        <v>87</v>
      </c>
      <c r="U73" s="210" t="s">
        <v>87</v>
      </c>
    </row>
    <row r="74" spans="1:21" ht="15" customHeight="1" x14ac:dyDescent="0.25">
      <c r="A74" s="121"/>
      <c r="B74" s="141"/>
      <c r="C74" s="163"/>
      <c r="D74" s="454"/>
      <c r="E74" s="753"/>
      <c r="F74" s="753"/>
      <c r="G74" s="753"/>
      <c r="H74" s="455"/>
      <c r="J74" s="747" t="str">
        <f>_xlfn.TEXTJOIN(CHAR(10)&amp;CHAR(10),TRUE,S73,S74)</f>
        <v/>
      </c>
      <c r="K74" s="748"/>
      <c r="L74" s="749"/>
      <c r="M74" s="381"/>
      <c r="N74" s="141"/>
      <c r="O74" s="121"/>
      <c r="Q74" s="253" t="s">
        <v>280</v>
      </c>
      <c r="R74" s="379"/>
      <c r="S74" s="453" t="str">
        <f>IF(S54=$R$9,IF(S73="","","2. ")&amp;$S$6,"")</f>
        <v/>
      </c>
      <c r="T74" s="253" t="s">
        <v>87</v>
      </c>
      <c r="U74" s="210" t="s">
        <v>87</v>
      </c>
    </row>
    <row r="75" spans="1:21" x14ac:dyDescent="0.25">
      <c r="A75" s="121"/>
      <c r="B75" s="141"/>
      <c r="C75" s="163"/>
      <c r="D75" s="454"/>
      <c r="E75" s="753"/>
      <c r="F75" s="753"/>
      <c r="G75" s="753"/>
      <c r="H75" s="455"/>
      <c r="J75" s="747"/>
      <c r="K75" s="748"/>
      <c r="L75" s="749"/>
      <c r="M75" s="381"/>
      <c r="N75" s="141"/>
      <c r="O75" s="121"/>
      <c r="Q75" s="185"/>
      <c r="R75" s="611"/>
      <c r="S75" s="612"/>
      <c r="T75" s="185"/>
    </row>
    <row r="76" spans="1:21" x14ac:dyDescent="0.25">
      <c r="A76" s="121"/>
      <c r="B76" s="141"/>
      <c r="C76" s="163"/>
      <c r="D76" s="454"/>
      <c r="E76" s="753"/>
      <c r="F76" s="753"/>
      <c r="G76" s="753"/>
      <c r="H76" s="455"/>
      <c r="J76" s="747"/>
      <c r="K76" s="748"/>
      <c r="L76" s="749"/>
      <c r="M76" s="381"/>
      <c r="N76" s="141"/>
      <c r="O76" s="121"/>
    </row>
    <row r="77" spans="1:21" x14ac:dyDescent="0.25">
      <c r="A77" s="121"/>
      <c r="B77" s="141"/>
      <c r="C77" s="163"/>
      <c r="D77" s="454"/>
      <c r="E77" s="753"/>
      <c r="F77" s="753"/>
      <c r="G77" s="753"/>
      <c r="H77" s="455"/>
      <c r="J77" s="747"/>
      <c r="K77" s="748"/>
      <c r="L77" s="749"/>
      <c r="M77" s="381"/>
      <c r="N77" s="141"/>
      <c r="O77" s="121"/>
      <c r="Q77" s="315"/>
      <c r="R77" s="456"/>
    </row>
    <row r="78" spans="1:21" x14ac:dyDescent="0.25">
      <c r="A78" s="121"/>
      <c r="B78" s="141"/>
      <c r="C78" s="163"/>
      <c r="D78" s="454"/>
      <c r="E78" s="753"/>
      <c r="F78" s="753"/>
      <c r="G78" s="753"/>
      <c r="H78" s="455"/>
      <c r="J78" s="747"/>
      <c r="K78" s="748"/>
      <c r="L78" s="749"/>
      <c r="M78" s="381"/>
      <c r="N78" s="141"/>
      <c r="O78" s="121"/>
      <c r="R78" s="457"/>
    </row>
    <row r="79" spans="1:21" x14ac:dyDescent="0.25">
      <c r="A79" s="121"/>
      <c r="B79" s="141"/>
      <c r="C79" s="163"/>
      <c r="D79" s="458"/>
      <c r="E79" s="754"/>
      <c r="F79" s="754"/>
      <c r="G79" s="754"/>
      <c r="H79" s="459"/>
      <c r="J79" s="750"/>
      <c r="K79" s="751"/>
      <c r="L79" s="752"/>
      <c r="M79" s="381"/>
      <c r="N79" s="141"/>
      <c r="O79" s="121"/>
    </row>
    <row r="80" spans="1:21" ht="8.1" customHeight="1" x14ac:dyDescent="0.25">
      <c r="A80" s="121"/>
      <c r="B80" s="141"/>
      <c r="C80" s="163"/>
      <c r="D80" s="460"/>
      <c r="E80" s="461"/>
      <c r="F80" s="461"/>
      <c r="G80" s="461"/>
      <c r="H80" s="460"/>
      <c r="J80" s="462"/>
      <c r="K80" s="462"/>
      <c r="L80" s="462"/>
      <c r="M80" s="381"/>
      <c r="N80" s="141"/>
      <c r="O80" s="121"/>
    </row>
    <row r="81" spans="1:23" x14ac:dyDescent="0.25">
      <c r="A81" s="121"/>
      <c r="B81" s="141"/>
      <c r="C81" s="163"/>
      <c r="D81" s="574"/>
      <c r="E81" s="574"/>
      <c r="F81" s="574"/>
      <c r="G81" s="574"/>
      <c r="H81" s="574"/>
      <c r="J81" s="462"/>
      <c r="K81" s="462"/>
      <c r="L81" s="462"/>
      <c r="M81" s="381"/>
      <c r="N81" s="141"/>
      <c r="O81" s="121"/>
    </row>
    <row r="82" spans="1:23" x14ac:dyDescent="0.25">
      <c r="A82" s="121"/>
      <c r="B82" s="141"/>
      <c r="C82" s="163"/>
      <c r="D82" s="740" t="s">
        <v>287</v>
      </c>
      <c r="E82" s="741"/>
      <c r="F82" s="741"/>
      <c r="G82" s="741"/>
      <c r="H82" s="741"/>
      <c r="I82" s="737" t="s">
        <v>288</v>
      </c>
      <c r="J82" s="737"/>
      <c r="K82" s="617" t="s">
        <v>289</v>
      </c>
      <c r="L82" s="618"/>
      <c r="M82" s="381"/>
      <c r="N82" s="141"/>
      <c r="O82" s="121"/>
    </row>
    <row r="83" spans="1:23" ht="38.25" customHeight="1" x14ac:dyDescent="0.25">
      <c r="A83" s="121"/>
      <c r="B83" s="141"/>
      <c r="C83" s="163"/>
      <c r="D83" s="619"/>
      <c r="E83" s="742"/>
      <c r="F83" s="742"/>
      <c r="G83" s="742"/>
      <c r="H83" s="743"/>
      <c r="I83" s="738"/>
      <c r="J83" s="739"/>
      <c r="K83" s="718"/>
      <c r="L83" s="620"/>
      <c r="M83" s="381"/>
      <c r="N83" s="141"/>
      <c r="O83" s="121"/>
    </row>
    <row r="84" spans="1:23" x14ac:dyDescent="0.25">
      <c r="A84" s="121"/>
      <c r="B84" s="141"/>
      <c r="C84" s="163"/>
      <c r="D84" s="574"/>
      <c r="E84" s="574"/>
      <c r="F84" s="574"/>
      <c r="G84" s="574"/>
      <c r="H84" s="574"/>
      <c r="J84" s="462"/>
      <c r="K84" s="462"/>
      <c r="L84" s="462"/>
      <c r="M84" s="381"/>
      <c r="N84" s="141"/>
      <c r="O84" s="121"/>
    </row>
    <row r="85" spans="1:23" ht="15" customHeight="1" x14ac:dyDescent="0.25">
      <c r="A85" s="121"/>
      <c r="B85" s="141"/>
      <c r="C85" s="141"/>
      <c r="D85" s="141"/>
      <c r="E85" s="141"/>
      <c r="F85" s="318"/>
      <c r="G85" s="319"/>
      <c r="H85" s="198"/>
      <c r="I85" s="320"/>
      <c r="J85" s="141"/>
      <c r="K85" s="141"/>
      <c r="L85" s="141"/>
      <c r="M85" s="141"/>
      <c r="N85" s="141"/>
      <c r="O85" s="121"/>
    </row>
    <row r="86" spans="1:23" ht="6" customHeight="1" x14ac:dyDescent="0.25">
      <c r="A86" s="121"/>
      <c r="B86" s="121"/>
      <c r="C86" s="121"/>
      <c r="D86" s="121"/>
      <c r="E86" s="121"/>
      <c r="F86" s="122"/>
      <c r="G86" s="121"/>
      <c r="H86" s="121"/>
      <c r="I86" s="336"/>
      <c r="J86" s="121"/>
      <c r="K86" s="121"/>
      <c r="L86" s="121"/>
      <c r="M86" s="121"/>
      <c r="N86" s="121"/>
      <c r="O86" s="121"/>
    </row>
    <row r="87" spans="1:23" ht="15" customHeight="1" x14ac:dyDescent="0.25">
      <c r="A87" s="121"/>
      <c r="B87" s="141"/>
      <c r="C87" s="141"/>
      <c r="D87" s="141"/>
      <c r="E87" s="141"/>
      <c r="F87" s="318"/>
      <c r="G87" s="319"/>
      <c r="H87" s="198"/>
      <c r="I87" s="320"/>
      <c r="J87" s="141"/>
      <c r="K87" s="141"/>
      <c r="L87" s="141"/>
      <c r="M87" s="141"/>
      <c r="N87" s="141"/>
      <c r="O87" s="121"/>
    </row>
    <row r="88" spans="1:23" x14ac:dyDescent="0.25">
      <c r="A88" s="121"/>
      <c r="B88" s="141"/>
      <c r="C88" s="292"/>
      <c r="D88" s="293"/>
      <c r="E88" s="293"/>
      <c r="F88" s="337"/>
      <c r="G88" s="338"/>
      <c r="H88" s="295"/>
      <c r="I88" s="339"/>
      <c r="J88" s="293"/>
      <c r="K88" s="293"/>
      <c r="L88" s="293"/>
      <c r="M88" s="162"/>
      <c r="N88" s="141"/>
      <c r="O88" s="121"/>
      <c r="Q88" s="340" t="s">
        <v>81</v>
      </c>
      <c r="R88" s="341"/>
      <c r="S88" s="341"/>
      <c r="T88" s="342" t="s">
        <v>82</v>
      </c>
    </row>
    <row r="89" spans="1:23" ht="21" x14ac:dyDescent="0.25">
      <c r="A89" s="343"/>
      <c r="B89" s="344"/>
      <c r="C89" s="345"/>
      <c r="D89" s="346"/>
      <c r="E89" s="347" t="str">
        <f>"Beregning "&amp;P89</f>
        <v>Beregning 2</v>
      </c>
      <c r="F89" s="348"/>
      <c r="G89" s="346"/>
      <c r="H89" s="349"/>
      <c r="I89" s="350"/>
      <c r="J89" s="346"/>
      <c r="K89" s="346"/>
      <c r="L89" s="346"/>
      <c r="M89" s="351"/>
      <c r="N89" s="344"/>
      <c r="O89" s="343"/>
      <c r="P89" s="352">
        <f>COUNTIF($D$16:D90,"tiltaket")</f>
        <v>2</v>
      </c>
      <c r="Q89" s="353" t="s">
        <v>83</v>
      </c>
      <c r="R89" s="353" t="s">
        <v>84</v>
      </c>
      <c r="S89" s="353" t="s">
        <v>85</v>
      </c>
      <c r="T89" s="353" t="s">
        <v>86</v>
      </c>
      <c r="U89" s="210" t="s">
        <v>87</v>
      </c>
      <c r="V89" s="354"/>
      <c r="W89" s="352"/>
    </row>
    <row r="90" spans="1:23" ht="30" customHeight="1" x14ac:dyDescent="0.35">
      <c r="A90" s="355"/>
      <c r="B90" s="356"/>
      <c r="C90" s="357"/>
      <c r="D90" s="358" t="s">
        <v>88</v>
      </c>
      <c r="E90" s="359"/>
      <c r="F90" s="360"/>
      <c r="G90" s="359"/>
      <c r="H90" s="361"/>
      <c r="I90" s="362"/>
      <c r="J90" s="403"/>
      <c r="K90" s="363"/>
      <c r="L90" s="363"/>
      <c r="M90" s="364"/>
      <c r="N90" s="356"/>
      <c r="O90" s="355"/>
      <c r="P90" s="363"/>
      <c r="Q90" s="365"/>
      <c r="R90" s="365"/>
      <c r="S90" s="365"/>
      <c r="T90" s="365"/>
      <c r="U90" s="210" t="s">
        <v>87</v>
      </c>
      <c r="W90" s="363"/>
    </row>
    <row r="91" spans="1:23" ht="8.1" customHeight="1" x14ac:dyDescent="0.25">
      <c r="A91" s="121"/>
      <c r="B91" s="158"/>
      <c r="C91" s="366"/>
      <c r="D91" s="367"/>
      <c r="E91" s="219"/>
      <c r="F91" s="368"/>
      <c r="G91" s="219"/>
      <c r="H91" s="369"/>
      <c r="I91" s="576"/>
      <c r="J91" s="576"/>
      <c r="K91" s="219"/>
      <c r="L91" s="219"/>
      <c r="M91" s="371"/>
      <c r="N91" s="158"/>
      <c r="O91" s="121"/>
      <c r="P91" s="219"/>
      <c r="Q91" s="372"/>
      <c r="R91" s="372"/>
      <c r="S91" s="372"/>
      <c r="T91" s="372"/>
      <c r="U91" s="210" t="s">
        <v>87</v>
      </c>
      <c r="V91" s="354"/>
      <c r="W91" s="219"/>
    </row>
    <row r="92" spans="1:23" ht="15.75" thickBot="1" x14ac:dyDescent="0.3">
      <c r="A92" s="121"/>
      <c r="B92" s="141"/>
      <c r="C92" s="163"/>
      <c r="D92" s="247"/>
      <c r="E92" s="373" t="s">
        <v>89</v>
      </c>
      <c r="F92" s="665"/>
      <c r="G92" s="374" t="s">
        <v>90</v>
      </c>
      <c r="H92" s="375"/>
      <c r="I92" s="237" t="str">
        <f>S92</f>
        <v xml:space="preserve">*obligatorisk </v>
      </c>
      <c r="J92" s="577"/>
      <c r="K92" s="376"/>
      <c r="L92" s="376"/>
      <c r="M92" s="377"/>
      <c r="N92" s="158"/>
      <c r="O92" s="121"/>
      <c r="P92" s="575" t="str">
        <f>P89&amp;"a"</f>
        <v>2a</v>
      </c>
      <c r="Q92" s="253" t="str">
        <f>D90</f>
        <v>Tiltaket</v>
      </c>
      <c r="R92" s="378">
        <f>F92</f>
        <v>0</v>
      </c>
      <c r="S92" s="253" t="str" cm="1">
        <f t="array" ref="S92">_xlfn.IFS(F92="",$R$7,TRUE,"")</f>
        <v xml:space="preserve">*obligatorisk </v>
      </c>
      <c r="T92" s="379" t="s">
        <v>87</v>
      </c>
      <c r="U92" s="210" t="s">
        <v>87</v>
      </c>
    </row>
    <row r="93" spans="1:23" ht="15.75" thickTop="1" x14ac:dyDescent="0.25">
      <c r="A93" s="121"/>
      <c r="B93" s="141"/>
      <c r="C93" s="163"/>
      <c r="D93" s="247"/>
      <c r="E93" s="464" t="s">
        <v>91</v>
      </c>
      <c r="F93" s="651"/>
      <c r="G93" s="374" t="s">
        <v>90</v>
      </c>
      <c r="H93" s="380"/>
      <c r="I93" s="237" t="str">
        <f>S93</f>
        <v/>
      </c>
      <c r="J93" s="362"/>
      <c r="M93" s="381"/>
      <c r="N93" s="141"/>
      <c r="O93" s="121"/>
      <c r="Q93" s="253" t="str">
        <f>E93</f>
        <v xml:space="preserve">hvis tolk: hvilket tiltak er tolken brukt i? </v>
      </c>
      <c r="R93" s="378">
        <f>F93</f>
        <v>0</v>
      </c>
      <c r="S93" s="253" t="str" cm="1">
        <f t="array" ref="S93">_xlfn.IFS(AND(IFERROR(SEARCH("tolk",F92),0)&gt;0,F93=""),$R$7,TRUE,"")</f>
        <v/>
      </c>
      <c r="T93" s="379" t="s">
        <v>87</v>
      </c>
      <c r="U93" s="210" t="s">
        <v>87</v>
      </c>
    </row>
    <row r="94" spans="1:23" ht="8.1" customHeight="1" x14ac:dyDescent="0.25">
      <c r="A94" s="121"/>
      <c r="B94" s="141"/>
      <c r="C94" s="163"/>
      <c r="D94" s="247"/>
      <c r="E94" s="382"/>
      <c r="F94" s="382"/>
      <c r="G94" s="374"/>
      <c r="H94" s="375"/>
      <c r="I94" s="383"/>
      <c r="J94" s="577"/>
      <c r="K94" s="376"/>
      <c r="L94" s="376"/>
      <c r="M94" s="377"/>
      <c r="N94" s="158"/>
      <c r="O94" s="121"/>
      <c r="P94" s="219"/>
      <c r="Q94" s="353"/>
      <c r="R94" s="353"/>
      <c r="S94" s="353"/>
      <c r="T94" s="353"/>
      <c r="U94" s="210" t="s">
        <v>87</v>
      </c>
    </row>
    <row r="95" spans="1:23" x14ac:dyDescent="0.25">
      <c r="A95" s="121"/>
      <c r="B95" s="141"/>
      <c r="C95" s="163"/>
      <c r="D95" s="247"/>
      <c r="E95" s="384" t="s">
        <v>92</v>
      </c>
      <c r="F95" s="167"/>
      <c r="G95" s="385"/>
      <c r="H95" s="380"/>
      <c r="I95" s="386"/>
      <c r="J95" s="362"/>
      <c r="K95" s="362"/>
      <c r="L95" s="362"/>
      <c r="M95" s="381"/>
      <c r="N95" s="141"/>
      <c r="O95" s="121"/>
      <c r="Q95" s="372"/>
      <c r="R95" s="372"/>
      <c r="S95" s="372"/>
      <c r="T95" s="372"/>
      <c r="U95" s="210" t="s">
        <v>87</v>
      </c>
    </row>
    <row r="96" spans="1:23" ht="15.75" thickBot="1" x14ac:dyDescent="0.3">
      <c r="A96" s="121"/>
      <c r="B96" s="141"/>
      <c r="C96" s="163"/>
      <c r="D96" s="247"/>
      <c r="E96" s="387" t="s">
        <v>93</v>
      </c>
      <c r="F96" s="662"/>
      <c r="G96" s="374" t="s">
        <v>90</v>
      </c>
      <c r="H96" s="380"/>
      <c r="I96" s="237" t="str">
        <f>S96</f>
        <v xml:space="preserve">*obligatorisk </v>
      </c>
      <c r="J96" s="362"/>
      <c r="K96" s="388"/>
      <c r="L96" s="388"/>
      <c r="M96" s="381"/>
      <c r="N96" s="141"/>
      <c r="O96" s="121"/>
      <c r="Q96" s="253" t="str">
        <f>E96</f>
        <v xml:space="preserve">arbeidstimer per uke </v>
      </c>
      <c r="R96" s="389">
        <f>F96</f>
        <v>0</v>
      </c>
      <c r="S96" s="253" t="str" cm="1">
        <f t="array" ref="S96">_xlfn.IFS(F96="",$R$7,TRUE,"")</f>
        <v xml:space="preserve">*obligatorisk </v>
      </c>
      <c r="T96" s="379" t="s">
        <v>87</v>
      </c>
      <c r="U96" s="210" t="s">
        <v>87</v>
      </c>
    </row>
    <row r="97" spans="1:23" ht="15.75" thickTop="1" x14ac:dyDescent="0.25">
      <c r="A97" s="121"/>
      <c r="B97" s="141"/>
      <c r="C97" s="163"/>
      <c r="D97" s="247"/>
      <c r="E97" s="387" t="s">
        <v>94</v>
      </c>
      <c r="F97" s="663"/>
      <c r="G97" s="374" t="s">
        <v>90</v>
      </c>
      <c r="H97" s="380"/>
      <c r="I97" s="237" t="str">
        <f>S97</f>
        <v xml:space="preserve">*obligatorisk </v>
      </c>
      <c r="J97" s="362"/>
      <c r="K97" s="388"/>
      <c r="L97" s="388"/>
      <c r="M97" s="381"/>
      <c r="N97" s="141"/>
      <c r="O97" s="121"/>
      <c r="Q97" s="253" t="str">
        <f>E97</f>
        <v xml:space="preserve">arbeidsuker i tilskuddperioden </v>
      </c>
      <c r="R97" s="389">
        <f>F97</f>
        <v>0</v>
      </c>
      <c r="S97" s="253" t="str" cm="1">
        <f t="array" ref="S97">_xlfn.IFS(F97="",$R$7,TRUE,"")</f>
        <v xml:space="preserve">*obligatorisk </v>
      </c>
      <c r="T97" s="379" t="s">
        <v>87</v>
      </c>
      <c r="U97" s="210" t="s">
        <v>87</v>
      </c>
    </row>
    <row r="98" spans="1:23" ht="15.75" thickBot="1" x14ac:dyDescent="0.3">
      <c r="A98" s="121"/>
      <c r="B98" s="141"/>
      <c r="C98" s="163"/>
      <c r="D98" s="247"/>
      <c r="E98" s="387" t="s">
        <v>95</v>
      </c>
      <c r="F98" s="664">
        <f>R98</f>
        <v>0</v>
      </c>
      <c r="G98" s="185"/>
      <c r="H98" s="380"/>
      <c r="I98" s="237"/>
      <c r="J98" s="362"/>
      <c r="K98" s="362"/>
      <c r="L98" s="362"/>
      <c r="M98" s="381"/>
      <c r="N98" s="141"/>
      <c r="O98" s="121"/>
      <c r="Q98" s="253" t="str">
        <f>E98</f>
        <v xml:space="preserve">arbeidstimer totalt </v>
      </c>
      <c r="R98" s="389">
        <f>R96*R97</f>
        <v>0</v>
      </c>
      <c r="S98" s="253"/>
      <c r="T98" s="379" t="s">
        <v>87</v>
      </c>
      <c r="U98" s="210" t="s">
        <v>87</v>
      </c>
    </row>
    <row r="99" spans="1:23" ht="8.1" customHeight="1" thickTop="1" thickBot="1" x14ac:dyDescent="0.3">
      <c r="A99" s="121"/>
      <c r="B99" s="141"/>
      <c r="C99" s="163"/>
      <c r="D99" s="247"/>
      <c r="E99" s="249"/>
      <c r="F99" s="390"/>
      <c r="G99" s="185"/>
      <c r="H99" s="380"/>
      <c r="I99" s="237"/>
      <c r="J99" s="362"/>
      <c r="K99" s="362"/>
      <c r="L99" s="362"/>
      <c r="M99" s="381"/>
      <c r="N99" s="141"/>
      <c r="O99" s="121"/>
      <c r="Q99" s="391"/>
      <c r="R99" s="391"/>
      <c r="S99" s="391"/>
      <c r="T99" s="391"/>
      <c r="U99" s="210" t="s">
        <v>87</v>
      </c>
    </row>
    <row r="100" spans="1:23" ht="15.75" thickTop="1" x14ac:dyDescent="0.25">
      <c r="A100" s="121"/>
      <c r="B100" s="141"/>
      <c r="C100" s="163"/>
      <c r="D100" s="247"/>
      <c r="E100" s="384" t="str">
        <f>"Ubekvemstillegg for de "&amp;IF(F98=0,"timene:",F98&amp;" timene:")</f>
        <v>Ubekvemstillegg for de timene:</v>
      </c>
      <c r="F100" s="392"/>
      <c r="H100" s="380"/>
      <c r="I100" s="237"/>
      <c r="J100" s="362"/>
      <c r="K100" s="362"/>
      <c r="L100" s="362"/>
      <c r="M100" s="381"/>
      <c r="N100" s="141"/>
      <c r="O100" s="121"/>
      <c r="Q100" s="393" t="s">
        <v>96</v>
      </c>
      <c r="R100" s="394">
        <f>(R98-R101-R102)</f>
        <v>0</v>
      </c>
      <c r="S100" s="393"/>
      <c r="T100" s="395" t="e">
        <f>R100/R98</f>
        <v>#DIV/0!</v>
      </c>
      <c r="U100" s="210" t="s">
        <v>87</v>
      </c>
    </row>
    <row r="101" spans="1:23" ht="15.75" thickBot="1" x14ac:dyDescent="0.3">
      <c r="A101" s="121"/>
      <c r="B101" s="141"/>
      <c r="C101" s="163"/>
      <c r="D101" s="247"/>
      <c r="E101" s="396" t="s">
        <v>97</v>
      </c>
      <c r="F101" s="657">
        <v>0</v>
      </c>
      <c r="G101" s="374" t="s">
        <v>90</v>
      </c>
      <c r="H101" s="380"/>
      <c r="I101" s="237"/>
      <c r="J101" s="362"/>
      <c r="K101" s="362"/>
      <c r="L101" s="362"/>
      <c r="M101" s="381"/>
      <c r="N101" s="141"/>
      <c r="O101" s="121"/>
      <c r="Q101" s="253" t="str">
        <f>E101</f>
        <v>arbeidstimer kveld</v>
      </c>
      <c r="R101" s="389">
        <f>F101</f>
        <v>0</v>
      </c>
      <c r="S101" s="253"/>
      <c r="T101" s="397" t="e">
        <f>R101/R98</f>
        <v>#DIV/0!</v>
      </c>
      <c r="U101" s="210" t="s">
        <v>87</v>
      </c>
    </row>
    <row r="102" spans="1:23" ht="16.5" thickTop="1" thickBot="1" x14ac:dyDescent="0.3">
      <c r="A102" s="121"/>
      <c r="B102" s="141"/>
      <c r="C102" s="163"/>
      <c r="D102" s="247"/>
      <c r="E102" s="396" t="s">
        <v>98</v>
      </c>
      <c r="F102" s="658">
        <v>0</v>
      </c>
      <c r="G102" s="374" t="s">
        <v>90</v>
      </c>
      <c r="H102" s="380"/>
      <c r="I102" s="237"/>
      <c r="J102" s="362"/>
      <c r="K102" s="362"/>
      <c r="L102" s="362"/>
      <c r="M102" s="381"/>
      <c r="N102" s="141"/>
      <c r="O102" s="121"/>
      <c r="Q102" s="253" t="str">
        <f t="shared" ref="Q102" si="11">E102</f>
        <v>arbeidstimer natt</v>
      </c>
      <c r="R102" s="389">
        <f t="shared" ref="R102" si="12">F102</f>
        <v>0</v>
      </c>
      <c r="S102" s="253"/>
      <c r="T102" s="397" t="e">
        <f>R102/R98</f>
        <v>#DIV/0!</v>
      </c>
      <c r="U102" s="210" t="s">
        <v>87</v>
      </c>
    </row>
    <row r="103" spans="1:23" ht="8.1" customHeight="1" thickTop="1" x14ac:dyDescent="0.25">
      <c r="A103" s="121"/>
      <c r="B103" s="141"/>
      <c r="C103" s="163"/>
      <c r="D103" s="247"/>
      <c r="E103" s="249"/>
      <c r="F103" s="659"/>
      <c r="G103" s="185"/>
      <c r="H103" s="380"/>
      <c r="I103" s="237"/>
      <c r="J103" s="362"/>
      <c r="K103" s="362"/>
      <c r="L103" s="362"/>
      <c r="M103" s="381"/>
      <c r="N103" s="141"/>
      <c r="O103" s="121"/>
      <c r="Q103" s="391"/>
      <c r="R103" s="391"/>
      <c r="S103" s="391"/>
      <c r="T103" s="391"/>
      <c r="U103" s="210" t="s">
        <v>87</v>
      </c>
    </row>
    <row r="104" spans="1:23" ht="15.75" thickBot="1" x14ac:dyDescent="0.3">
      <c r="A104" s="121"/>
      <c r="B104" s="141"/>
      <c r="C104" s="163"/>
      <c r="D104" s="247"/>
      <c r="E104" s="396" t="s">
        <v>99</v>
      </c>
      <c r="F104" s="660">
        <v>0</v>
      </c>
      <c r="G104" s="374" t="s">
        <v>90</v>
      </c>
      <c r="H104" s="380"/>
      <c r="I104" s="237"/>
      <c r="J104" s="362"/>
      <c r="K104" s="362"/>
      <c r="L104" s="362"/>
      <c r="M104" s="381"/>
      <c r="N104" s="141"/>
      <c r="O104" s="121"/>
      <c r="Q104" s="393" t="str">
        <f t="shared" ref="Q104:Q106" si="13">E104</f>
        <v>arbeidstimer helg</v>
      </c>
      <c r="R104" s="394">
        <f t="shared" ref="R104:R106" si="14">F104</f>
        <v>0</v>
      </c>
      <c r="S104" s="393"/>
      <c r="T104" s="379" t="s">
        <v>87</v>
      </c>
      <c r="U104" s="210" t="s">
        <v>87</v>
      </c>
    </row>
    <row r="105" spans="1:23" ht="16.5" thickTop="1" thickBot="1" x14ac:dyDescent="0.3">
      <c r="A105" s="121"/>
      <c r="B105" s="141"/>
      <c r="C105" s="163"/>
      <c r="D105" s="247"/>
      <c r="E105" s="396" t="s">
        <v>100</v>
      </c>
      <c r="F105" s="661">
        <v>0</v>
      </c>
      <c r="G105" s="374" t="s">
        <v>90</v>
      </c>
      <c r="H105" s="380"/>
      <c r="I105" s="237"/>
      <c r="J105" s="362"/>
      <c r="K105" s="362"/>
      <c r="L105" s="362"/>
      <c r="M105" s="381"/>
      <c r="N105" s="141"/>
      <c r="O105" s="121"/>
      <c r="Q105" s="253" t="str">
        <f t="shared" si="13"/>
        <v>arbeidstimer helligdag</v>
      </c>
      <c r="R105" s="389">
        <f t="shared" si="14"/>
        <v>0</v>
      </c>
      <c r="S105" s="253"/>
      <c r="T105" s="379" t="s">
        <v>87</v>
      </c>
      <c r="U105" s="210" t="s">
        <v>87</v>
      </c>
    </row>
    <row r="106" spans="1:23" ht="15.75" thickTop="1" x14ac:dyDescent="0.25">
      <c r="A106" s="121"/>
      <c r="B106" s="141"/>
      <c r="C106" s="163"/>
      <c r="D106" s="247"/>
      <c r="E106" s="396" t="s">
        <v>101</v>
      </c>
      <c r="F106" s="661">
        <v>0</v>
      </c>
      <c r="G106" s="374" t="s">
        <v>90</v>
      </c>
      <c r="H106" s="380"/>
      <c r="I106" s="237"/>
      <c r="J106" s="362"/>
      <c r="K106" s="362"/>
      <c r="L106" s="362"/>
      <c r="M106" s="381"/>
      <c r="N106" s="141"/>
      <c r="O106" s="121"/>
      <c r="Q106" s="253" t="str">
        <f t="shared" si="13"/>
        <v>arbeidstimer helligdag helg</v>
      </c>
      <c r="R106" s="389">
        <f t="shared" si="14"/>
        <v>0</v>
      </c>
      <c r="S106" s="253"/>
      <c r="T106" s="379" t="s">
        <v>87</v>
      </c>
      <c r="U106" s="210" t="s">
        <v>87</v>
      </c>
    </row>
    <row r="107" spans="1:23" x14ac:dyDescent="0.25">
      <c r="A107" s="121"/>
      <c r="B107" s="141"/>
      <c r="C107" s="163"/>
      <c r="D107" s="256"/>
      <c r="E107" s="398"/>
      <c r="F107" s="398"/>
      <c r="G107" s="399"/>
      <c r="H107" s="400"/>
      <c r="I107" s="237"/>
      <c r="J107" s="362"/>
      <c r="K107" s="362"/>
      <c r="L107" s="362"/>
      <c r="M107" s="381"/>
      <c r="N107" s="141"/>
      <c r="O107" s="121"/>
      <c r="Q107" s="353"/>
      <c r="R107" s="353"/>
      <c r="S107" s="353"/>
      <c r="T107" s="353"/>
      <c r="U107" s="210" t="s">
        <v>87</v>
      </c>
    </row>
    <row r="108" spans="1:23" ht="8.1" customHeight="1" x14ac:dyDescent="0.25">
      <c r="A108" s="121"/>
      <c r="B108" s="141"/>
      <c r="C108" s="163"/>
      <c r="D108" s="164"/>
      <c r="E108" s="382"/>
      <c r="F108" s="382"/>
      <c r="G108" s="401"/>
      <c r="H108" s="382"/>
      <c r="I108" s="237"/>
      <c r="J108" s="362"/>
      <c r="K108" s="362"/>
      <c r="L108" s="362"/>
      <c r="M108" s="381"/>
      <c r="N108" s="141"/>
      <c r="O108" s="121"/>
      <c r="Q108" s="402"/>
      <c r="R108" s="402"/>
      <c r="S108" s="402"/>
      <c r="T108" s="402"/>
      <c r="U108" s="210" t="s">
        <v>87</v>
      </c>
    </row>
    <row r="109" spans="1:23" ht="30" customHeight="1" x14ac:dyDescent="0.35">
      <c r="A109" s="355"/>
      <c r="B109" s="356"/>
      <c r="C109" s="357"/>
      <c r="D109" s="358" t="s">
        <v>102</v>
      </c>
      <c r="E109" s="359"/>
      <c r="F109" s="360"/>
      <c r="G109" s="359"/>
      <c r="H109" s="361"/>
      <c r="I109" s="403"/>
      <c r="J109" s="403"/>
      <c r="K109" s="363"/>
      <c r="L109" s="363"/>
      <c r="M109" s="364"/>
      <c r="N109" s="356"/>
      <c r="O109" s="355"/>
      <c r="P109" s="363"/>
      <c r="Q109" s="365"/>
      <c r="R109" s="365"/>
      <c r="S109" s="365"/>
      <c r="T109" s="365"/>
      <c r="U109" s="210" t="s">
        <v>87</v>
      </c>
      <c r="W109" s="363"/>
    </row>
    <row r="110" spans="1:23" ht="8.1" customHeight="1" x14ac:dyDescent="0.25">
      <c r="A110" s="121"/>
      <c r="B110" s="158"/>
      <c r="C110" s="366"/>
      <c r="D110" s="404"/>
      <c r="E110" s="405"/>
      <c r="F110" s="368"/>
      <c r="G110" s="219"/>
      <c r="H110" s="369"/>
      <c r="I110" s="237"/>
      <c r="J110" s="576"/>
      <c r="K110" s="219"/>
      <c r="L110" s="219"/>
      <c r="M110" s="371"/>
      <c r="N110" s="158"/>
      <c r="O110" s="121"/>
      <c r="P110" s="219"/>
      <c r="Q110" s="402"/>
      <c r="R110" s="402"/>
      <c r="S110" s="402"/>
      <c r="T110" s="402"/>
      <c r="U110" s="210" t="s">
        <v>87</v>
      </c>
      <c r="V110" s="354"/>
      <c r="W110" s="219"/>
    </row>
    <row r="111" spans="1:23" ht="15.75" thickBot="1" x14ac:dyDescent="0.3">
      <c r="A111" s="121"/>
      <c r="B111" s="141"/>
      <c r="C111" s="163"/>
      <c r="D111" s="247"/>
      <c r="E111" s="373" t="s">
        <v>103</v>
      </c>
      <c r="F111" s="651"/>
      <c r="G111" s="374" t="s">
        <v>90</v>
      </c>
      <c r="H111" s="380"/>
      <c r="I111" s="237" t="str">
        <f t="shared" ref="I111:I112" si="15">S111</f>
        <v xml:space="preserve">*obligatorisk </v>
      </c>
      <c r="J111" s="362"/>
      <c r="K111" s="362"/>
      <c r="L111" s="362"/>
      <c r="M111" s="381"/>
      <c r="N111" s="141"/>
      <c r="O111" s="121"/>
      <c r="P111" s="575" t="str">
        <f>P89&amp;"b"</f>
        <v>2b</v>
      </c>
      <c r="Q111" s="253" t="s">
        <v>104</v>
      </c>
      <c r="R111" s="406"/>
      <c r="S111" s="253" t="str" cm="1">
        <f t="array" ref="S111">_xlfn.IFS(F111="",$R$7,TRUE,"")</f>
        <v xml:space="preserve">*obligatorisk </v>
      </c>
      <c r="T111" s="379" t="s">
        <v>87</v>
      </c>
      <c r="U111" s="210" t="s">
        <v>87</v>
      </c>
    </row>
    <row r="112" spans="1:23" ht="15.75" thickTop="1" x14ac:dyDescent="0.25">
      <c r="A112" s="121"/>
      <c r="B112" s="141"/>
      <c r="C112" s="163"/>
      <c r="D112" s="247"/>
      <c r="E112" s="373" t="s">
        <v>105</v>
      </c>
      <c r="F112" s="652" t="s">
        <v>129</v>
      </c>
      <c r="G112" s="374" t="s">
        <v>90</v>
      </c>
      <c r="H112" s="380"/>
      <c r="I112" s="237" t="str">
        <f t="shared" si="15"/>
        <v xml:space="preserve">*obligatorisk </v>
      </c>
      <c r="J112" s="407"/>
      <c r="K112" s="408"/>
      <c r="L112" s="408"/>
      <c r="M112" s="381"/>
      <c r="N112" s="141"/>
      <c r="O112" s="121"/>
      <c r="Q112" s="253" t="str">
        <f>E112</f>
        <v>alminnelig arbeidstid for full stilling</v>
      </c>
      <c r="R112" s="389">
        <f>_xlfn.XLOOKUP(F112,Innstillinger!$B$48:$B$53,Innstillinger!$C$48:$C$53,0,)</f>
        <v>0</v>
      </c>
      <c r="S112" s="253" t="str" cm="1">
        <f t="array" ref="S112">_xlfn.IFS(F112="",$R$7,F112=Innstillinger!$B$8,$R$7,TRUE,"")</f>
        <v xml:space="preserve">*obligatorisk </v>
      </c>
      <c r="T112" s="379" t="s">
        <v>87</v>
      </c>
      <c r="U112" s="210" t="s">
        <v>87</v>
      </c>
    </row>
    <row r="113" spans="1:23" ht="8.1" customHeight="1" x14ac:dyDescent="0.25">
      <c r="A113" s="121"/>
      <c r="B113" s="158"/>
      <c r="C113" s="366"/>
      <c r="D113" s="404"/>
      <c r="E113" s="405"/>
      <c r="F113" s="368"/>
      <c r="G113" s="219"/>
      <c r="H113" s="369"/>
      <c r="I113" s="237"/>
      <c r="J113" s="576"/>
      <c r="K113" s="219"/>
      <c r="L113" s="219"/>
      <c r="M113" s="371"/>
      <c r="N113" s="158"/>
      <c r="O113" s="121"/>
      <c r="P113" s="219"/>
      <c r="Q113" s="402"/>
      <c r="R113" s="402"/>
      <c r="S113" s="402"/>
      <c r="T113" s="402"/>
      <c r="U113" s="210" t="s">
        <v>87</v>
      </c>
      <c r="V113" s="354"/>
      <c r="W113" s="219"/>
    </row>
    <row r="114" spans="1:23" x14ac:dyDescent="0.25">
      <c r="A114" s="121"/>
      <c r="B114" s="141"/>
      <c r="C114" s="163"/>
      <c r="D114" s="247"/>
      <c r="E114" s="384" t="s">
        <v>107</v>
      </c>
      <c r="F114" s="409"/>
      <c r="G114" s="374"/>
      <c r="H114" s="380"/>
      <c r="I114" s="237"/>
      <c r="J114" s="362"/>
      <c r="K114" s="362"/>
      <c r="L114" s="362"/>
      <c r="M114" s="381"/>
      <c r="N114" s="141"/>
      <c r="O114" s="121"/>
      <c r="Q114" s="410"/>
      <c r="R114" s="411"/>
      <c r="S114" s="410"/>
      <c r="T114" s="410"/>
      <c r="U114" s="210" t="s">
        <v>87</v>
      </c>
    </row>
    <row r="115" spans="1:23" ht="15.75" thickBot="1" x14ac:dyDescent="0.3">
      <c r="A115" s="121"/>
      <c r="B115" s="141"/>
      <c r="C115" s="163"/>
      <c r="D115" s="247"/>
      <c r="E115" s="373" t="s">
        <v>108</v>
      </c>
      <c r="F115" s="653"/>
      <c r="G115" s="374" t="s">
        <v>90</v>
      </c>
      <c r="H115" s="380"/>
      <c r="I115" s="237" t="str">
        <f>S115</f>
        <v xml:space="preserve">*obligatorisk </v>
      </c>
      <c r="J115" s="362"/>
      <c r="K115" s="386"/>
      <c r="L115" s="386"/>
      <c r="M115" s="381"/>
      <c r="N115" s="141"/>
      <c r="O115" s="121"/>
      <c r="Q115" s="253" t="str">
        <f>E115</f>
        <v>årslønn for full stilling</v>
      </c>
      <c r="R115" s="412">
        <f>F115</f>
        <v>0</v>
      </c>
      <c r="S115" s="253" t="str" cm="1">
        <f t="array" ref="S115">_xlfn.IFS(R115=0,$R$7,ISERROR(R130)=TRUE,"",R130&gt;$R$5,$R$9,TRUE,"")</f>
        <v xml:space="preserve">*obligatorisk </v>
      </c>
      <c r="T115" s="379" t="s">
        <v>87</v>
      </c>
      <c r="U115" s="210" t="s">
        <v>87</v>
      </c>
    </row>
    <row r="116" spans="1:23" ht="16.5" thickTop="1" thickBot="1" x14ac:dyDescent="0.3">
      <c r="A116" s="121"/>
      <c r="B116" s="141"/>
      <c r="C116" s="163"/>
      <c r="D116" s="247"/>
      <c r="E116" s="413" t="s">
        <v>109</v>
      </c>
      <c r="F116" s="654">
        <v>0</v>
      </c>
      <c r="G116" s="374" t="s">
        <v>90</v>
      </c>
      <c r="H116" s="380"/>
      <c r="I116" s="237" t="str">
        <f t="shared" ref="I116" si="16">S116</f>
        <v/>
      </c>
      <c r="J116" s="362"/>
      <c r="K116" s="386"/>
      <c r="L116" s="386"/>
      <c r="M116" s="381"/>
      <c r="N116" s="141"/>
      <c r="O116" s="121"/>
      <c r="Q116" s="253" t="str">
        <f t="shared" ref="Q116:Q119" si="17">E116</f>
        <v xml:space="preserve">timetillegg kveld </v>
      </c>
      <c r="R116" s="412">
        <f>F116</f>
        <v>0</v>
      </c>
      <c r="S116" s="253" t="str" cm="1">
        <f t="array" ref="S116">_xlfn.IFS(AND(R101&gt;0,R116=0),$R$7,TRUE,"")</f>
        <v/>
      </c>
      <c r="T116" s="414">
        <f>R116*R101</f>
        <v>0</v>
      </c>
      <c r="U116" s="210" t="s">
        <v>87</v>
      </c>
    </row>
    <row r="117" spans="1:23" ht="16.5" thickTop="1" thickBot="1" x14ac:dyDescent="0.3">
      <c r="A117" s="121"/>
      <c r="B117" s="141"/>
      <c r="C117" s="163"/>
      <c r="D117" s="247"/>
      <c r="E117" s="413" t="s">
        <v>110</v>
      </c>
      <c r="F117" s="655">
        <v>0</v>
      </c>
      <c r="G117" s="374" t="s">
        <v>90</v>
      </c>
      <c r="H117" s="380"/>
      <c r="I117" s="237" t="str">
        <f>S117</f>
        <v/>
      </c>
      <c r="J117" s="362"/>
      <c r="K117" s="386"/>
      <c r="L117" s="386"/>
      <c r="M117" s="381"/>
      <c r="N117" s="141"/>
      <c r="O117" s="121"/>
      <c r="Q117" s="253" t="str">
        <f t="shared" si="17"/>
        <v xml:space="preserve">timetillegg natt </v>
      </c>
      <c r="R117" s="412">
        <f t="shared" ref="R117:R118" si="18">F117</f>
        <v>0</v>
      </c>
      <c r="S117" s="253" t="str" cm="1">
        <f t="array" ref="S117">_xlfn.IFS(AND(R102&gt;0,R117=0),$R$7,TRUE,"")</f>
        <v/>
      </c>
      <c r="T117" s="414">
        <f>R117*R102</f>
        <v>0</v>
      </c>
      <c r="U117" s="210" t="s">
        <v>87</v>
      </c>
    </row>
    <row r="118" spans="1:23" ht="16.5" thickTop="1" thickBot="1" x14ac:dyDescent="0.3">
      <c r="A118" s="121"/>
      <c r="B118" s="141"/>
      <c r="C118" s="163"/>
      <c r="D118" s="247"/>
      <c r="E118" s="413" t="s">
        <v>111</v>
      </c>
      <c r="F118" s="654">
        <v>0</v>
      </c>
      <c r="G118" s="374" t="s">
        <v>90</v>
      </c>
      <c r="H118" s="380"/>
      <c r="I118" s="237" t="str">
        <f>S118</f>
        <v/>
      </c>
      <c r="J118" s="362"/>
      <c r="K118" s="386"/>
      <c r="L118" s="386"/>
      <c r="M118" s="381"/>
      <c r="N118" s="141"/>
      <c r="O118" s="121"/>
      <c r="Q118" s="253" t="str">
        <f t="shared" si="17"/>
        <v>timetillegg helg</v>
      </c>
      <c r="R118" s="412">
        <f t="shared" si="18"/>
        <v>0</v>
      </c>
      <c r="S118" s="253" t="str" cm="1">
        <f t="array" ref="S118">_xlfn.IFS(AND(R104&gt;0,R118=0),$R$7,TRUE,"")</f>
        <v/>
      </c>
      <c r="T118" s="414">
        <f>R118*R104</f>
        <v>0</v>
      </c>
      <c r="U118" s="210" t="s">
        <v>87</v>
      </c>
    </row>
    <row r="119" spans="1:23" ht="15.75" thickTop="1" x14ac:dyDescent="0.25">
      <c r="A119" s="121"/>
      <c r="B119" s="141"/>
      <c r="C119" s="163"/>
      <c r="D119" s="247"/>
      <c r="E119" s="413" t="s">
        <v>112</v>
      </c>
      <c r="F119" s="656">
        <v>0</v>
      </c>
      <c r="G119" s="374" t="s">
        <v>90</v>
      </c>
      <c r="H119" s="380"/>
      <c r="I119" s="237" t="str">
        <f>S119</f>
        <v/>
      </c>
      <c r="J119" s="362"/>
      <c r="K119" s="386"/>
      <c r="L119" s="386"/>
      <c r="M119" s="381"/>
      <c r="N119" s="141"/>
      <c r="O119" s="121"/>
      <c r="Q119" s="253" t="str">
        <f t="shared" si="17"/>
        <v>prosenttillegg helligdag</v>
      </c>
      <c r="R119" s="415">
        <f>F119</f>
        <v>0</v>
      </c>
      <c r="S119" s="253" t="str" cm="1">
        <f t="array" ref="S119">_xlfn.IFS(AND(OR(R105&gt;0,R106&gt;0),R119=0),$R$7,TRUE,"")</f>
        <v/>
      </c>
      <c r="T119" s="414" t="e">
        <f>((R119*R105*T100*R128)+(R119*R105*T101*(R128+R116))+(R119*R105*T102*(R128+R117)))+((R119*R106*T100*(R128+R118))+(R119*R106*T101*(R128+R116+R118))+(R119*R106*T102*(R128+R117+R118)))</f>
        <v>#DIV/0!</v>
      </c>
      <c r="U119" s="210" t="s">
        <v>87</v>
      </c>
      <c r="V119" s="416"/>
    </row>
    <row r="120" spans="1:23" x14ac:dyDescent="0.25">
      <c r="A120" s="121"/>
      <c r="B120" s="141"/>
      <c r="C120" s="163"/>
      <c r="D120" s="247"/>
      <c r="E120" s="417" t="s">
        <v>113</v>
      </c>
      <c r="F120" s="418"/>
      <c r="G120" s="419"/>
      <c r="H120" s="380"/>
      <c r="I120" s="420"/>
      <c r="J120" s="407"/>
      <c r="K120" s="407"/>
      <c r="L120" s="407"/>
      <c r="M120" s="381"/>
      <c r="N120" s="141"/>
      <c r="O120" s="121"/>
      <c r="Q120" s="402"/>
      <c r="R120" s="402"/>
      <c r="S120" s="402"/>
      <c r="T120" s="402"/>
      <c r="U120" s="210" t="s">
        <v>87</v>
      </c>
    </row>
    <row r="121" spans="1:23" ht="8.1" customHeight="1" thickBot="1" x14ac:dyDescent="0.3">
      <c r="A121" s="121"/>
      <c r="B121" s="141"/>
      <c r="C121" s="163"/>
      <c r="D121" s="247"/>
      <c r="E121" s="249"/>
      <c r="F121" s="390"/>
      <c r="G121" s="185"/>
      <c r="H121" s="380"/>
      <c r="I121" s="386"/>
      <c r="J121" s="362"/>
      <c r="K121" s="362"/>
      <c r="L121" s="362"/>
      <c r="M121" s="381"/>
      <c r="N121" s="141"/>
      <c r="O121" s="121"/>
      <c r="Q121" s="402"/>
      <c r="R121" s="402"/>
      <c r="S121" s="402"/>
      <c r="T121" s="402"/>
      <c r="U121" s="210" t="s">
        <v>87</v>
      </c>
    </row>
    <row r="122" spans="1:23" ht="15.75" thickTop="1" x14ac:dyDescent="0.25">
      <c r="A122" s="121"/>
      <c r="B122" s="141"/>
      <c r="C122" s="163"/>
      <c r="D122" s="247"/>
      <c r="E122" s="384" t="s">
        <v>114</v>
      </c>
      <c r="F122" s="409"/>
      <c r="G122" s="374"/>
      <c r="H122" s="380"/>
      <c r="I122" s="386"/>
      <c r="J122" s="362"/>
      <c r="K122" s="362"/>
      <c r="L122" s="362"/>
      <c r="M122" s="381"/>
      <c r="N122" s="141"/>
      <c r="O122" s="121"/>
      <c r="Q122" s="410"/>
      <c r="R122" s="411"/>
      <c r="S122" s="410"/>
      <c r="T122" s="410"/>
      <c r="U122" s="210" t="s">
        <v>87</v>
      </c>
    </row>
    <row r="123" spans="1:23" ht="15.75" thickBot="1" x14ac:dyDescent="0.3">
      <c r="A123" s="121"/>
      <c r="B123" s="141"/>
      <c r="C123" s="163"/>
      <c r="D123" s="247"/>
      <c r="E123" s="373" t="s">
        <v>115</v>
      </c>
      <c r="F123" s="643" t="s">
        <v>129</v>
      </c>
      <c r="G123" s="374" t="s">
        <v>90</v>
      </c>
      <c r="H123" s="380"/>
      <c r="I123" s="237" t="str">
        <f t="shared" ref="I123" si="19">S123</f>
        <v xml:space="preserve">*obligatorisk </v>
      </c>
      <c r="J123" s="421"/>
      <c r="K123" s="421"/>
      <c r="L123" s="421"/>
      <c r="M123" s="381"/>
      <c r="N123" s="141"/>
      <c r="O123" s="121"/>
      <c r="Q123" s="253" t="str">
        <f>E123</f>
        <v>sats feriepenger</v>
      </c>
      <c r="R123" s="422" t="str">
        <f>F123</f>
        <v>Velg fra liste….</v>
      </c>
      <c r="S123" s="253" t="str" cm="1">
        <f t="array" ref="S123">_xlfn.IFS(F123="",$R$7,F123=Innstillinger!$B$8,$R$7,TRUE,"")</f>
        <v xml:space="preserve">*obligatorisk </v>
      </c>
      <c r="T123" s="379" t="s">
        <v>87</v>
      </c>
      <c r="U123" s="210" t="s">
        <v>87</v>
      </c>
    </row>
    <row r="124" spans="1:23" ht="16.5" thickTop="1" thickBot="1" x14ac:dyDescent="0.3">
      <c r="A124" s="121"/>
      <c r="B124" s="141"/>
      <c r="C124" s="163"/>
      <c r="D124" s="247"/>
      <c r="E124" s="373" t="s">
        <v>116</v>
      </c>
      <c r="F124" s="648">
        <v>0.11</v>
      </c>
      <c r="G124" s="374" t="s">
        <v>90</v>
      </c>
      <c r="H124" s="573"/>
      <c r="I124" s="237"/>
      <c r="J124" s="362"/>
      <c r="K124" s="423"/>
      <c r="L124" s="423"/>
      <c r="M124" s="381"/>
      <c r="N124" s="141"/>
      <c r="O124" s="121"/>
      <c r="Q124" s="253" t="str">
        <f>E124</f>
        <v>sats pensjon</v>
      </c>
      <c r="R124" s="422">
        <f>F124+F125</f>
        <v>0.09</v>
      </c>
      <c r="S124" s="253"/>
      <c r="T124" s="379" t="s">
        <v>87</v>
      </c>
      <c r="U124" s="210" t="s">
        <v>87</v>
      </c>
    </row>
    <row r="125" spans="1:23" ht="16.5" thickTop="1" thickBot="1" x14ac:dyDescent="0.3">
      <c r="A125" s="121"/>
      <c r="B125" s="141"/>
      <c r="C125" s="163"/>
      <c r="D125" s="247"/>
      <c r="E125" s="413" t="s">
        <v>279</v>
      </c>
      <c r="F125" s="666">
        <v>-0.02</v>
      </c>
      <c r="G125" s="374" t="s">
        <v>90</v>
      </c>
      <c r="H125" s="573"/>
      <c r="I125" s="237" t="str">
        <f t="shared" ref="I125:I126" si="20">S125</f>
        <v/>
      </c>
      <c r="J125" s="362"/>
      <c r="K125" s="423"/>
      <c r="L125" s="423"/>
      <c r="M125" s="381"/>
      <c r="N125" s="141"/>
      <c r="O125" s="121"/>
      <c r="Q125" s="253"/>
      <c r="R125" s="422"/>
      <c r="S125" s="253" t="str" cm="1">
        <f t="array" ref="S125">_xlfn.IFS(F125=0%,$R$9,TRUE,"")</f>
        <v/>
      </c>
      <c r="T125" s="379"/>
    </row>
    <row r="126" spans="1:23" ht="15.75" thickTop="1" x14ac:dyDescent="0.25">
      <c r="A126" s="121"/>
      <c r="B126" s="141"/>
      <c r="C126" s="163"/>
      <c r="D126" s="247"/>
      <c r="E126" s="424" t="s">
        <v>117</v>
      </c>
      <c r="F126" s="644" t="s">
        <v>129</v>
      </c>
      <c r="G126" s="374" t="s">
        <v>90</v>
      </c>
      <c r="H126" s="380"/>
      <c r="I126" s="237" t="str">
        <f t="shared" si="20"/>
        <v xml:space="preserve">*obligatorisk </v>
      </c>
      <c r="J126" s="423"/>
      <c r="K126" s="237"/>
      <c r="L126" s="237"/>
      <c r="M126" s="381"/>
      <c r="N126" s="141"/>
      <c r="O126" s="121"/>
      <c r="Q126" s="253" t="str">
        <f>E126</f>
        <v>sats arbeidsgiveravgift</v>
      </c>
      <c r="R126" s="422" t="str">
        <f>F126</f>
        <v>Velg fra liste….</v>
      </c>
      <c r="S126" s="253" t="str" cm="1">
        <f t="array" ref="S126">_xlfn.IFS(F126="",$R$7,F126=Innstillinger!$B$8,$R$7,TRUE,"")</f>
        <v xml:space="preserve">*obligatorisk </v>
      </c>
      <c r="T126" s="379" t="s">
        <v>87</v>
      </c>
      <c r="U126" s="210" t="s">
        <v>87</v>
      </c>
    </row>
    <row r="127" spans="1:23" x14ac:dyDescent="0.25">
      <c r="A127" s="121"/>
      <c r="B127" s="141"/>
      <c r="C127" s="163"/>
      <c r="D127" s="247"/>
      <c r="E127" s="417" t="s">
        <v>118</v>
      </c>
      <c r="F127" s="418"/>
      <c r="G127" s="419"/>
      <c r="H127" s="380"/>
      <c r="I127" s="425"/>
      <c r="J127" s="407"/>
      <c r="K127" s="407"/>
      <c r="L127" s="407"/>
      <c r="M127" s="381"/>
      <c r="N127" s="141"/>
      <c r="O127" s="121"/>
      <c r="Q127" s="426" t="s">
        <v>119</v>
      </c>
      <c r="R127" s="427" t="str" cm="1">
        <f t="array" ref="R127">_xlfn.IFS(ISERROR(R141),"Nei",COUNTIF(I90:I126,$R$7)=0,"Ja",TRUE,"Nei")</f>
        <v>Nei</v>
      </c>
      <c r="S127" s="353"/>
      <c r="T127" s="353"/>
      <c r="U127" s="210" t="s">
        <v>87</v>
      </c>
      <c r="V127" s="210" t="s">
        <v>87</v>
      </c>
    </row>
    <row r="128" spans="1:23" ht="8.1" customHeight="1" x14ac:dyDescent="0.25">
      <c r="A128" s="121"/>
      <c r="B128" s="141"/>
      <c r="C128" s="163"/>
      <c r="D128" s="247"/>
      <c r="E128" s="249"/>
      <c r="F128" s="392"/>
      <c r="G128" s="185"/>
      <c r="H128" s="380"/>
      <c r="I128" s="425"/>
      <c r="J128" s="362"/>
      <c r="K128" s="362"/>
      <c r="L128" s="362"/>
      <c r="M128" s="381"/>
      <c r="N128" s="141"/>
      <c r="O128" s="121"/>
      <c r="Q128" s="372"/>
      <c r="R128" s="372"/>
      <c r="S128" s="372"/>
      <c r="T128" s="372"/>
      <c r="U128" s="210" t="s">
        <v>87</v>
      </c>
      <c r="V128" s="210" t="s">
        <v>87</v>
      </c>
    </row>
    <row r="129" spans="1:23" ht="15.75" thickBot="1" x14ac:dyDescent="0.3">
      <c r="A129" s="121"/>
      <c r="B129" s="141"/>
      <c r="C129" s="163"/>
      <c r="D129" s="247"/>
      <c r="E129" s="373" t="s">
        <v>120</v>
      </c>
      <c r="F129" s="428" t="str">
        <f>IF(R127="nei","",R129)</f>
        <v/>
      </c>
      <c r="G129" s="429"/>
      <c r="H129" s="380"/>
      <c r="I129" s="425" t="str">
        <f>S129</f>
        <v/>
      </c>
      <c r="J129" s="430"/>
      <c r="K129" s="430"/>
      <c r="L129" s="430"/>
      <c r="M129" s="381"/>
      <c r="N129" s="141"/>
      <c r="O129" s="121"/>
      <c r="P129" s="431"/>
      <c r="Q129" s="253" t="s">
        <v>43</v>
      </c>
      <c r="R129" s="432" t="e">
        <f>R115/R112/52</f>
        <v>#DIV/0!</v>
      </c>
      <c r="S129" s="253" t="str" cm="1">
        <f t="array" ref="S129">_xlfn.IFS(AND(I141=TRUE,R127="NEI"),$R$10,I141=TRUE,T129,TRUE,"")</f>
        <v/>
      </c>
      <c r="T129" s="433" t="e">
        <f>"➡️ "&amp;TEXT(R129,"# ##0")&amp;" kr =  "&amp;TEXT(R115,"# ##0")&amp;" kr årslønnn ÷  "&amp;TEXT(R112,"#,##")&amp;" timer/uke  ÷  52 uker"</f>
        <v>#DIV/0!</v>
      </c>
      <c r="U129" s="210" t="s">
        <v>87</v>
      </c>
    </row>
    <row r="130" spans="1:23" ht="15.75" thickTop="1" x14ac:dyDescent="0.25">
      <c r="A130" s="121"/>
      <c r="B130" s="141"/>
      <c r="C130" s="163"/>
      <c r="D130" s="247"/>
      <c r="E130" s="373" t="s">
        <v>121</v>
      </c>
      <c r="F130" s="434" t="str">
        <f>IF(R127="nei","",R130)</f>
        <v/>
      </c>
      <c r="G130" s="429"/>
      <c r="H130" s="380"/>
      <c r="I130" s="425" t="str">
        <f>S130</f>
        <v/>
      </c>
      <c r="J130" s="435"/>
      <c r="K130" s="435"/>
      <c r="L130" s="435"/>
      <c r="M130" s="381"/>
      <c r="N130" s="141"/>
      <c r="O130" s="121"/>
      <c r="Q130" s="253" t="s">
        <v>121</v>
      </c>
      <c r="R130" s="412" t="e">
        <f>(R129*(1+R123+R124+(R123*R124))*(1+R126))</f>
        <v>#DIV/0!</v>
      </c>
      <c r="S130" s="253" t="str" cm="1">
        <f t="array" ref="S130">_xlfn.IFS(AND(I141=TRUE,R127="NEI"),$R$10,I141=TRUE,T130,TRUE,"")</f>
        <v/>
      </c>
      <c r="T130" s="433" t="e">
        <f>"➡️ "&amp;TEXT(R130,"# ##0")&amp;" kr =  "&amp;TEXT(R129,"# ##0,00")&amp;" kr timelønn, uten sosiale utgifter x  sosiale utgifter"</f>
        <v>#DIV/0!</v>
      </c>
      <c r="U130" s="210" t="s">
        <v>87</v>
      </c>
    </row>
    <row r="131" spans="1:23" x14ac:dyDescent="0.25">
      <c r="A131" s="121"/>
      <c r="B131" s="141"/>
      <c r="C131" s="163"/>
      <c r="D131" s="256"/>
      <c r="E131" s="398"/>
      <c r="F131" s="398"/>
      <c r="G131" s="399"/>
      <c r="H131" s="400"/>
      <c r="I131" s="425"/>
      <c r="J131" s="362"/>
      <c r="K131" s="423"/>
      <c r="L131" s="423"/>
      <c r="M131" s="381"/>
      <c r="N131" s="141"/>
      <c r="O131" s="121"/>
      <c r="Q131" s="402"/>
      <c r="R131" s="402"/>
      <c r="S131" s="402"/>
      <c r="T131" s="402"/>
      <c r="U131" s="210" t="s">
        <v>87</v>
      </c>
    </row>
    <row r="132" spans="1:23" ht="8.1" customHeight="1" x14ac:dyDescent="0.25">
      <c r="A132" s="121"/>
      <c r="B132" s="141"/>
      <c r="C132" s="163"/>
      <c r="D132" s="164"/>
      <c r="E132" s="382"/>
      <c r="F132" s="382"/>
      <c r="G132" s="401"/>
      <c r="H132" s="382"/>
      <c r="I132" s="425"/>
      <c r="J132" s="362"/>
      <c r="K132" s="362"/>
      <c r="L132" s="362"/>
      <c r="M132" s="381"/>
      <c r="N132" s="141"/>
      <c r="O132" s="121"/>
      <c r="Q132" s="402"/>
      <c r="R132" s="402"/>
      <c r="S132" s="402"/>
      <c r="T132" s="402"/>
      <c r="U132" s="210" t="s">
        <v>87</v>
      </c>
    </row>
    <row r="133" spans="1:23" ht="30" customHeight="1" x14ac:dyDescent="0.35">
      <c r="A133" s="355"/>
      <c r="B133" s="356"/>
      <c r="C133" s="357"/>
      <c r="D133" s="358" t="s">
        <v>10</v>
      </c>
      <c r="E133" s="359"/>
      <c r="F133" s="360"/>
      <c r="G133" s="359"/>
      <c r="H133" s="361"/>
      <c r="I133" s="436"/>
      <c r="J133" s="363"/>
      <c r="K133" s="363"/>
      <c r="L133" s="363"/>
      <c r="M133" s="364"/>
      <c r="N133" s="356"/>
      <c r="O133" s="355"/>
      <c r="P133" s="363"/>
      <c r="Q133" s="365"/>
      <c r="R133" s="365"/>
      <c r="S133" s="365"/>
      <c r="T133" s="365"/>
      <c r="U133" s="210" t="s">
        <v>87</v>
      </c>
      <c r="W133" s="363"/>
    </row>
    <row r="134" spans="1:23" ht="8.1" customHeight="1" x14ac:dyDescent="0.25">
      <c r="A134" s="121"/>
      <c r="B134" s="158"/>
      <c r="C134" s="366"/>
      <c r="D134" s="404"/>
      <c r="E134" s="405"/>
      <c r="F134" s="368"/>
      <c r="G134" s="219"/>
      <c r="H134" s="369"/>
      <c r="I134" s="370"/>
      <c r="J134" s="219"/>
      <c r="K134" s="219"/>
      <c r="L134" s="219"/>
      <c r="M134" s="371"/>
      <c r="N134" s="158"/>
      <c r="O134" s="121"/>
      <c r="P134" s="219"/>
      <c r="Q134" s="402"/>
      <c r="R134" s="402"/>
      <c r="S134" s="402"/>
      <c r="T134" s="402"/>
      <c r="U134" s="210" t="s">
        <v>87</v>
      </c>
      <c r="V134" s="354"/>
      <c r="W134" s="219"/>
    </row>
    <row r="135" spans="1:23" ht="15.75" thickBot="1" x14ac:dyDescent="0.3">
      <c r="A135" s="121"/>
      <c r="B135" s="141"/>
      <c r="C135" s="163"/>
      <c r="D135" s="247"/>
      <c r="E135" s="382" t="s">
        <v>122</v>
      </c>
      <c r="F135" s="437" t="str">
        <f>IF(R127="nei","",R135)</f>
        <v/>
      </c>
      <c r="G135" s="438"/>
      <c r="H135" s="380"/>
      <c r="I135" s="425" t="str">
        <f t="shared" ref="I135:I139" si="21">S135</f>
        <v/>
      </c>
      <c r="J135" s="439"/>
      <c r="K135" s="439"/>
      <c r="L135" s="439"/>
      <c r="M135" s="381"/>
      <c r="N135" s="141"/>
      <c r="O135" s="121"/>
      <c r="P135" s="440"/>
      <c r="Q135" s="253" t="s">
        <v>122</v>
      </c>
      <c r="R135" s="441" t="e">
        <f>R98*R129</f>
        <v>#DIV/0!</v>
      </c>
      <c r="S135" s="253" t="str" cm="1">
        <f t="array" ref="S135">_xlfn.IFS(AND(I141=TRUE,R127="NEI"),$R$10,I141=TRUE,T135,TRUE,"")</f>
        <v/>
      </c>
      <c r="T135" s="433" t="str">
        <f>"➡️ "&amp;TEXT(F135,"# ##0")&amp;" kr  =   "&amp;F98&amp;" total arbeidstimer  x  "&amp;TEXT(F129,"#,##")&amp;" kroner per time"</f>
        <v>➡️  kr  =   0 total arbeidstimer  x   kroner per time</v>
      </c>
      <c r="U135" s="210" t="s">
        <v>87</v>
      </c>
    </row>
    <row r="136" spans="1:23" ht="16.5" thickTop="1" thickBot="1" x14ac:dyDescent="0.3">
      <c r="A136" s="121"/>
      <c r="B136" s="141"/>
      <c r="C136" s="163"/>
      <c r="D136" s="247"/>
      <c r="E136" s="382" t="s">
        <v>123</v>
      </c>
      <c r="F136" s="437" t="str">
        <f>IF(R127="nei","",R136)</f>
        <v/>
      </c>
      <c r="G136" s="438"/>
      <c r="H136" s="380"/>
      <c r="I136" s="425" t="str">
        <f t="shared" si="21"/>
        <v/>
      </c>
      <c r="J136" s="435"/>
      <c r="K136" s="439"/>
      <c r="L136" s="439"/>
      <c r="M136" s="381"/>
      <c r="N136" s="141"/>
      <c r="O136" s="121"/>
      <c r="P136" s="440"/>
      <c r="Q136" s="253" t="s">
        <v>123</v>
      </c>
      <c r="R136" s="412" t="e">
        <f>SUM(T116:T119)</f>
        <v>#DIV/0!</v>
      </c>
      <c r="S136" s="253" t="str" cm="1">
        <f t="array" ref="S136">_xlfn.IFS(AND(I141=TRUE,R127="NEI"),$R$10,I141=TRUE,T136,TRUE,"")</f>
        <v/>
      </c>
      <c r="T136" s="433" t="str">
        <f>"➡️ "&amp;TEXT(F136,"# ##0")&amp;" kr  =  arbeidstimer i helg / natt / kveld / helligdag x timetillegg"</f>
        <v>➡️  kr  =  arbeidstimer i helg / natt / kveld / helligdag x timetillegg</v>
      </c>
      <c r="U136" s="210" t="s">
        <v>87</v>
      </c>
    </row>
    <row r="137" spans="1:23" ht="16.5" thickTop="1" thickBot="1" x14ac:dyDescent="0.3">
      <c r="A137" s="121"/>
      <c r="B137" s="141"/>
      <c r="C137" s="163"/>
      <c r="D137" s="247"/>
      <c r="E137" s="382" t="s">
        <v>33</v>
      </c>
      <c r="F137" s="437" t="str">
        <f>IF(R127="nei","",R137)</f>
        <v/>
      </c>
      <c r="G137" s="438"/>
      <c r="H137" s="380"/>
      <c r="I137" s="425" t="str">
        <f t="shared" si="21"/>
        <v/>
      </c>
      <c r="J137" s="435"/>
      <c r="K137" s="435"/>
      <c r="L137" s="435"/>
      <c r="M137" s="381"/>
      <c r="N137" s="141"/>
      <c r="O137" s="121"/>
      <c r="P137" s="440"/>
      <c r="Q137" s="253" t="s">
        <v>33</v>
      </c>
      <c r="R137" s="412" t="e">
        <f>(R135+R136)*R123</f>
        <v>#DIV/0!</v>
      </c>
      <c r="S137" s="253" t="str" cm="1">
        <f t="array" ref="S137">_xlfn.IFS(AND(I141=TRUE,R127="NEI"),$R$10,I141=TRUE,T137,TRUE,"")</f>
        <v/>
      </c>
      <c r="T137" s="433" t="e">
        <f>"➡️ "&amp;TEXT(F137,"# ##0")&amp;" kr = "&amp;TEXT(F135+F136,"# ##0")&amp;" kr lønn &amp; tillegg  x  "&amp;TEXT(F123,"#,0 %")&amp;" feriepenger sats"</f>
        <v>#VALUE!</v>
      </c>
      <c r="U137" s="210" t="s">
        <v>87</v>
      </c>
    </row>
    <row r="138" spans="1:23" ht="16.5" thickTop="1" thickBot="1" x14ac:dyDescent="0.3">
      <c r="A138" s="121"/>
      <c r="B138" s="141"/>
      <c r="C138" s="163"/>
      <c r="D138" s="247"/>
      <c r="E138" s="382" t="s">
        <v>124</v>
      </c>
      <c r="F138" s="437" t="str">
        <f>IF(R127="nei","",R138)</f>
        <v/>
      </c>
      <c r="G138" s="438"/>
      <c r="H138" s="380"/>
      <c r="I138" s="425" t="str">
        <f t="shared" si="21"/>
        <v/>
      </c>
      <c r="J138" s="435"/>
      <c r="K138" s="435"/>
      <c r="L138" s="435"/>
      <c r="M138" s="381"/>
      <c r="N138" s="141"/>
      <c r="O138" s="121"/>
      <c r="P138" s="440"/>
      <c r="Q138" s="253" t="s">
        <v>124</v>
      </c>
      <c r="R138" s="412" t="e">
        <f>SUM(R135:R137)*R124</f>
        <v>#DIV/0!</v>
      </c>
      <c r="S138" s="253" t="str" cm="1">
        <f t="array" ref="S138">_xlfn.IFS(AND(I141=TRUE,R127="NEI"),$R$10,I141=TRUE,T138,TRUE,"")</f>
        <v/>
      </c>
      <c r="T138" s="433" t="e">
        <f>"➡️ "&amp;TEXT(F138,"# ##0")&amp;" kr  = ("&amp;TEXT(F135+F136,"# ##0")&amp;" kr lønn &amp; tillegg + "&amp;TEXT(F137,"# ##0")&amp;" kr feriepenger) x "&amp;TEXT(F124,"#,0 %")&amp;" pensjon"</f>
        <v>#VALUE!</v>
      </c>
      <c r="U138" s="210" t="s">
        <v>87</v>
      </c>
    </row>
    <row r="139" spans="1:23" ht="16.5" thickTop="1" thickBot="1" x14ac:dyDescent="0.3">
      <c r="A139" s="121"/>
      <c r="B139" s="141"/>
      <c r="C139" s="163"/>
      <c r="D139" s="247"/>
      <c r="E139" s="382" t="s">
        <v>22</v>
      </c>
      <c r="F139" s="437" t="str">
        <f>IF(R127="nei","",R139)</f>
        <v/>
      </c>
      <c r="G139" s="438"/>
      <c r="H139" s="380"/>
      <c r="I139" s="425" t="str">
        <f t="shared" si="21"/>
        <v/>
      </c>
      <c r="J139" s="435"/>
      <c r="K139" s="435"/>
      <c r="L139" s="435"/>
      <c r="M139" s="381"/>
      <c r="N139" s="141"/>
      <c r="O139" s="121"/>
      <c r="P139" s="440"/>
      <c r="Q139" s="253" t="s">
        <v>22</v>
      </c>
      <c r="R139" s="412" t="e">
        <f>SUM(R135:R138)*R126</f>
        <v>#DIV/0!</v>
      </c>
      <c r="S139" s="253" t="str" cm="1">
        <f t="array" ref="S139">_xlfn.IFS(AND(I141=TRUE,R127="NEI"),$R$10,I141=TRUE,T139,TRUE,"")</f>
        <v/>
      </c>
      <c r="T139" s="433" t="e">
        <f>"➡️ "&amp;TEXT(F139,"# ##0")&amp;" kr = ("&amp;TEXT(F135+F136,"# ##0")&amp;" kr lønn + "&amp;TEXT(F137,"# ##0")&amp;" kr f.p. + "&amp;TEXT(F138,"# ##0")&amp;" kr pensjon)  x  "&amp;TEXT(F126,"#,0 %")&amp;" aga "</f>
        <v>#VALUE!</v>
      </c>
      <c r="U139" s="210" t="s">
        <v>87</v>
      </c>
    </row>
    <row r="140" spans="1:23" ht="8.1" customHeight="1" thickTop="1" x14ac:dyDescent="0.25">
      <c r="A140" s="121"/>
      <c r="B140" s="141"/>
      <c r="C140" s="163"/>
      <c r="D140" s="256"/>
      <c r="E140" s="257"/>
      <c r="F140" s="288"/>
      <c r="G140" s="442"/>
      <c r="H140" s="443"/>
      <c r="J140" s="435"/>
      <c r="K140" s="435"/>
      <c r="L140" s="435"/>
      <c r="M140" s="381"/>
      <c r="N140" s="141"/>
      <c r="O140" s="121"/>
      <c r="Q140" s="402"/>
      <c r="R140" s="402"/>
      <c r="S140" s="402"/>
      <c r="T140" s="402"/>
      <c r="U140" s="210" t="s">
        <v>87</v>
      </c>
    </row>
    <row r="141" spans="1:23" ht="18.75" x14ac:dyDescent="0.3">
      <c r="A141" s="121"/>
      <c r="B141" s="158"/>
      <c r="C141" s="445"/>
      <c r="D141" s="446"/>
      <c r="E141" s="447" t="s">
        <v>125</v>
      </c>
      <c r="F141" s="285" t="str">
        <f>IF(R127="nei","",R141)</f>
        <v/>
      </c>
      <c r="G141" s="448"/>
      <c r="H141" s="449"/>
      <c r="I141" s="56" t="b">
        <v>0</v>
      </c>
      <c r="J141" s="450" t="s">
        <v>126</v>
      </c>
      <c r="M141" s="371"/>
      <c r="N141" s="158"/>
      <c r="O141" s="121"/>
      <c r="P141" s="575" t="str">
        <f>P89&amp;"c"</f>
        <v>2c</v>
      </c>
      <c r="Q141" s="253" t="s">
        <v>125</v>
      </c>
      <c r="R141" s="412" t="e">
        <f>SUM(R135:R139)</f>
        <v>#DIV/0!</v>
      </c>
      <c r="S141" s="253"/>
      <c r="T141" s="379" t="s">
        <v>87</v>
      </c>
      <c r="U141" s="210" t="s">
        <v>87</v>
      </c>
    </row>
    <row r="142" spans="1:23" ht="8.1" customHeight="1" x14ac:dyDescent="0.25">
      <c r="A142" s="121"/>
      <c r="B142" s="141"/>
      <c r="C142" s="163"/>
      <c r="D142" s="256"/>
      <c r="E142" s="257"/>
      <c r="F142" s="288"/>
      <c r="G142" s="442"/>
      <c r="H142" s="443"/>
      <c r="J142" s="435"/>
      <c r="K142" s="435"/>
      <c r="L142" s="435"/>
      <c r="M142" s="381"/>
      <c r="N142" s="141"/>
      <c r="O142" s="121"/>
      <c r="Q142" s="402"/>
      <c r="R142" s="402"/>
      <c r="S142" s="402"/>
      <c r="T142" s="402"/>
      <c r="U142" s="210" t="s">
        <v>87</v>
      </c>
    </row>
    <row r="143" spans="1:23" ht="8.1" customHeight="1" x14ac:dyDescent="0.25">
      <c r="A143" s="121"/>
      <c r="B143" s="141"/>
      <c r="C143" s="163"/>
      <c r="D143" s="164"/>
      <c r="E143" s="208"/>
      <c r="F143" s="236"/>
      <c r="G143" s="438"/>
      <c r="H143" s="451"/>
      <c r="J143" s="435"/>
      <c r="K143" s="435"/>
      <c r="L143" s="435"/>
      <c r="M143" s="381"/>
      <c r="N143" s="141"/>
      <c r="O143" s="121"/>
      <c r="Q143" s="402"/>
      <c r="R143" s="402"/>
      <c r="S143" s="402"/>
      <c r="T143" s="402"/>
      <c r="U143" s="210" t="s">
        <v>87</v>
      </c>
    </row>
    <row r="144" spans="1:23" x14ac:dyDescent="0.25">
      <c r="A144" s="121"/>
      <c r="B144" s="141"/>
      <c r="C144" s="163"/>
      <c r="D144" s="452"/>
      <c r="E144" s="81" t="str">
        <f>IF(E145="","Skriv kommentar:","")</f>
        <v>Skriv kommentar:</v>
      </c>
      <c r="F144" s="81"/>
      <c r="G144" s="81"/>
      <c r="H144" s="82"/>
      <c r="J144" s="744" t="str">
        <f>IF(S144&amp;S145="","","⚠️Vi trenger mer informasjon")</f>
        <v/>
      </c>
      <c r="K144" s="745"/>
      <c r="L144" s="746"/>
      <c r="M144" s="381"/>
      <c r="N144" s="141"/>
      <c r="O144" s="121"/>
      <c r="Q144" s="253" t="s">
        <v>127</v>
      </c>
      <c r="R144" s="379"/>
      <c r="S144" s="453" t="str">
        <f>IFERROR(IF(S115=$R$9,IF(R124&gt;$R$6,"1. ","")&amp;$S$5,""),"")</f>
        <v/>
      </c>
      <c r="T144" s="379" t="s">
        <v>87</v>
      </c>
      <c r="U144" s="210" t="s">
        <v>87</v>
      </c>
    </row>
    <row r="145" spans="1:23" ht="15" customHeight="1" x14ac:dyDescent="0.25">
      <c r="A145" s="121"/>
      <c r="B145" s="141"/>
      <c r="C145" s="163"/>
      <c r="D145" s="454"/>
      <c r="E145" s="753"/>
      <c r="F145" s="753"/>
      <c r="G145" s="753"/>
      <c r="H145" s="455"/>
      <c r="J145" s="747" t="str">
        <f>_xlfn.TEXTJOIN(CHAR(10)&amp;CHAR(10),TRUE,S144,S145)</f>
        <v/>
      </c>
      <c r="K145" s="748"/>
      <c r="L145" s="749"/>
      <c r="M145" s="381"/>
      <c r="N145" s="141"/>
      <c r="O145" s="121"/>
      <c r="Q145" s="253" t="s">
        <v>280</v>
      </c>
      <c r="R145" s="379"/>
      <c r="S145" s="453" t="str">
        <f>IF(S125=$R$9,IF(S144="","","2. ")&amp;$S$6,"")</f>
        <v/>
      </c>
      <c r="T145" s="253" t="s">
        <v>87</v>
      </c>
      <c r="U145" s="210" t="s">
        <v>87</v>
      </c>
    </row>
    <row r="146" spans="1:23" x14ac:dyDescent="0.25">
      <c r="A146" s="121"/>
      <c r="B146" s="141"/>
      <c r="C146" s="163"/>
      <c r="D146" s="454"/>
      <c r="E146" s="753"/>
      <c r="F146" s="753"/>
      <c r="G146" s="753"/>
      <c r="H146" s="455"/>
      <c r="J146" s="747"/>
      <c r="K146" s="748"/>
      <c r="L146" s="749"/>
      <c r="M146" s="381"/>
      <c r="N146" s="141"/>
      <c r="O146" s="121"/>
      <c r="Q146" s="185"/>
      <c r="R146" s="611"/>
      <c r="S146" s="612"/>
      <c r="T146" s="185"/>
    </row>
    <row r="147" spans="1:23" x14ac:dyDescent="0.25">
      <c r="A147" s="121"/>
      <c r="B147" s="141"/>
      <c r="C147" s="163"/>
      <c r="D147" s="454"/>
      <c r="E147" s="753"/>
      <c r="F147" s="753"/>
      <c r="G147" s="753"/>
      <c r="H147" s="455"/>
      <c r="J147" s="747"/>
      <c r="K147" s="748"/>
      <c r="L147" s="749"/>
      <c r="M147" s="381"/>
      <c r="N147" s="141"/>
      <c r="O147" s="121"/>
    </row>
    <row r="148" spans="1:23" x14ac:dyDescent="0.25">
      <c r="A148" s="121"/>
      <c r="B148" s="141"/>
      <c r="C148" s="163"/>
      <c r="D148" s="454"/>
      <c r="E148" s="753"/>
      <c r="F148" s="753"/>
      <c r="G148" s="753"/>
      <c r="H148" s="455"/>
      <c r="J148" s="747"/>
      <c r="K148" s="748"/>
      <c r="L148" s="749"/>
      <c r="M148" s="381"/>
      <c r="N148" s="141"/>
      <c r="O148" s="121"/>
      <c r="Q148" s="315"/>
      <c r="R148" s="456"/>
    </row>
    <row r="149" spans="1:23" x14ac:dyDescent="0.25">
      <c r="A149" s="121"/>
      <c r="B149" s="141"/>
      <c r="C149" s="163"/>
      <c r="D149" s="454"/>
      <c r="E149" s="753"/>
      <c r="F149" s="753"/>
      <c r="G149" s="753"/>
      <c r="H149" s="455"/>
      <c r="J149" s="747"/>
      <c r="K149" s="748"/>
      <c r="L149" s="749"/>
      <c r="M149" s="381"/>
      <c r="N149" s="141"/>
      <c r="O149" s="121"/>
      <c r="R149" s="457"/>
    </row>
    <row r="150" spans="1:23" x14ac:dyDescent="0.25">
      <c r="A150" s="121"/>
      <c r="B150" s="141"/>
      <c r="C150" s="163"/>
      <c r="D150" s="458"/>
      <c r="E150" s="754"/>
      <c r="F150" s="754"/>
      <c r="G150" s="754"/>
      <c r="H150" s="459"/>
      <c r="J150" s="750"/>
      <c r="K150" s="751"/>
      <c r="L150" s="752"/>
      <c r="M150" s="381"/>
      <c r="N150" s="141"/>
      <c r="O150" s="121"/>
    </row>
    <row r="151" spans="1:23" ht="8.1" customHeight="1" x14ac:dyDescent="0.25">
      <c r="A151" s="121"/>
      <c r="B151" s="141"/>
      <c r="C151" s="163"/>
      <c r="D151" s="460"/>
      <c r="E151" s="461"/>
      <c r="F151" s="461"/>
      <c r="G151" s="461"/>
      <c r="H151" s="460"/>
      <c r="J151" s="462"/>
      <c r="K151" s="462"/>
      <c r="L151" s="462"/>
      <c r="M151" s="381"/>
      <c r="N151" s="141"/>
      <c r="O151" s="121"/>
    </row>
    <row r="152" spans="1:23" x14ac:dyDescent="0.25">
      <c r="A152" s="121"/>
      <c r="B152" s="141"/>
      <c r="C152" s="163"/>
      <c r="D152" s="574"/>
      <c r="E152" s="574"/>
      <c r="F152" s="574"/>
      <c r="G152" s="574"/>
      <c r="H152" s="574"/>
      <c r="J152" s="462"/>
      <c r="K152" s="462"/>
      <c r="L152" s="462"/>
      <c r="M152" s="381"/>
      <c r="N152" s="141"/>
      <c r="O152" s="121"/>
    </row>
    <row r="153" spans="1:23" x14ac:dyDescent="0.25">
      <c r="A153" s="121"/>
      <c r="B153" s="141"/>
      <c r="C153" s="163"/>
      <c r="D153" s="740" t="s">
        <v>287</v>
      </c>
      <c r="E153" s="741"/>
      <c r="F153" s="741"/>
      <c r="G153" s="741"/>
      <c r="H153" s="741"/>
      <c r="I153" s="737" t="s">
        <v>288</v>
      </c>
      <c r="J153" s="737"/>
      <c r="K153" s="617" t="s">
        <v>289</v>
      </c>
      <c r="L153" s="618"/>
      <c r="M153" s="381"/>
      <c r="N153" s="141"/>
      <c r="O153" s="121"/>
    </row>
    <row r="154" spans="1:23" ht="38.25" customHeight="1" x14ac:dyDescent="0.25">
      <c r="A154" s="121"/>
      <c r="B154" s="141"/>
      <c r="C154" s="163"/>
      <c r="D154" s="619"/>
      <c r="E154" s="742"/>
      <c r="F154" s="742"/>
      <c r="G154" s="742"/>
      <c r="H154" s="743"/>
      <c r="I154" s="738"/>
      <c r="J154" s="739"/>
      <c r="K154" s="718"/>
      <c r="L154" s="620"/>
      <c r="M154" s="381"/>
      <c r="N154" s="141"/>
      <c r="O154" s="121"/>
    </row>
    <row r="155" spans="1:23" x14ac:dyDescent="0.25">
      <c r="A155" s="121"/>
      <c r="B155" s="141"/>
      <c r="C155" s="163"/>
      <c r="D155" s="574"/>
      <c r="E155" s="574"/>
      <c r="F155" s="574"/>
      <c r="G155" s="574"/>
      <c r="H155" s="574"/>
      <c r="J155" s="462"/>
      <c r="K155" s="462"/>
      <c r="L155" s="462"/>
      <c r="M155" s="381"/>
      <c r="N155" s="141"/>
      <c r="O155" s="121"/>
    </row>
    <row r="156" spans="1:23" ht="15" customHeight="1" x14ac:dyDescent="0.25">
      <c r="A156" s="121"/>
      <c r="B156" s="141"/>
      <c r="C156" s="141"/>
      <c r="D156" s="141"/>
      <c r="E156" s="141"/>
      <c r="F156" s="318"/>
      <c r="G156" s="319"/>
      <c r="H156" s="198"/>
      <c r="I156" s="320"/>
      <c r="J156" s="141"/>
      <c r="K156" s="141"/>
      <c r="L156" s="141"/>
      <c r="M156" s="141"/>
      <c r="N156" s="141"/>
      <c r="O156" s="121"/>
    </row>
    <row r="157" spans="1:23" ht="6" customHeight="1" x14ac:dyDescent="0.25">
      <c r="A157" s="121"/>
      <c r="B157" s="121"/>
      <c r="C157" s="121"/>
      <c r="D157" s="121"/>
      <c r="E157" s="121"/>
      <c r="F157" s="122"/>
      <c r="G157" s="121"/>
      <c r="H157" s="121"/>
      <c r="I157" s="336"/>
      <c r="J157" s="121"/>
      <c r="K157" s="121"/>
      <c r="L157" s="121"/>
      <c r="M157" s="121"/>
      <c r="N157" s="121"/>
      <c r="O157" s="121"/>
    </row>
    <row r="158" spans="1:23" ht="15" customHeight="1" x14ac:dyDescent="0.25">
      <c r="A158" s="121"/>
      <c r="B158" s="141"/>
      <c r="C158" s="141"/>
      <c r="D158" s="141"/>
      <c r="E158" s="141"/>
      <c r="F158" s="318"/>
      <c r="G158" s="319"/>
      <c r="H158" s="198"/>
      <c r="I158" s="320"/>
      <c r="J158" s="141"/>
      <c r="K158" s="141"/>
      <c r="L158" s="141"/>
      <c r="M158" s="141"/>
      <c r="N158" s="141"/>
      <c r="O158" s="121"/>
    </row>
    <row r="159" spans="1:23" x14ac:dyDescent="0.25">
      <c r="A159" s="121"/>
      <c r="B159" s="141"/>
      <c r="C159" s="292"/>
      <c r="D159" s="293"/>
      <c r="E159" s="293"/>
      <c r="F159" s="337"/>
      <c r="G159" s="338"/>
      <c r="H159" s="295"/>
      <c r="I159" s="339"/>
      <c r="J159" s="293"/>
      <c r="K159" s="293"/>
      <c r="L159" s="293"/>
      <c r="M159" s="162"/>
      <c r="N159" s="141"/>
      <c r="O159" s="121"/>
      <c r="Q159" s="340" t="s">
        <v>81</v>
      </c>
      <c r="R159" s="341"/>
      <c r="S159" s="341"/>
      <c r="T159" s="342" t="s">
        <v>82</v>
      </c>
    </row>
    <row r="160" spans="1:23" ht="21" x14ac:dyDescent="0.25">
      <c r="A160" s="343"/>
      <c r="B160" s="344"/>
      <c r="C160" s="345"/>
      <c r="D160" s="346"/>
      <c r="E160" s="347" t="str">
        <f>"Beregning "&amp;P160</f>
        <v>Beregning 3</v>
      </c>
      <c r="F160" s="348"/>
      <c r="G160" s="346"/>
      <c r="H160" s="349"/>
      <c r="I160" s="350"/>
      <c r="J160" s="346"/>
      <c r="K160" s="346"/>
      <c r="L160" s="346"/>
      <c r="M160" s="351"/>
      <c r="N160" s="344"/>
      <c r="O160" s="343"/>
      <c r="P160" s="352">
        <f>COUNTIF($D$16:D161,"tiltaket")</f>
        <v>3</v>
      </c>
      <c r="Q160" s="353" t="s">
        <v>83</v>
      </c>
      <c r="R160" s="353" t="s">
        <v>84</v>
      </c>
      <c r="S160" s="353" t="s">
        <v>85</v>
      </c>
      <c r="T160" s="353" t="s">
        <v>86</v>
      </c>
      <c r="U160" s="210" t="s">
        <v>87</v>
      </c>
      <c r="V160" s="354"/>
      <c r="W160" s="352"/>
    </row>
    <row r="161" spans="1:23" ht="30" customHeight="1" x14ac:dyDescent="0.35">
      <c r="A161" s="355"/>
      <c r="B161" s="356"/>
      <c r="C161" s="357"/>
      <c r="D161" s="358" t="s">
        <v>88</v>
      </c>
      <c r="E161" s="359"/>
      <c r="F161" s="360"/>
      <c r="G161" s="359"/>
      <c r="H161" s="361"/>
      <c r="I161" s="362"/>
      <c r="J161" s="403"/>
      <c r="K161" s="363"/>
      <c r="L161" s="363"/>
      <c r="M161" s="364"/>
      <c r="N161" s="356"/>
      <c r="O161" s="355"/>
      <c r="P161" s="363"/>
      <c r="Q161" s="365"/>
      <c r="R161" s="365"/>
      <c r="S161" s="365"/>
      <c r="T161" s="365"/>
      <c r="U161" s="210" t="s">
        <v>87</v>
      </c>
      <c r="W161" s="363"/>
    </row>
    <row r="162" spans="1:23" ht="8.1" customHeight="1" x14ac:dyDescent="0.25">
      <c r="A162" s="121"/>
      <c r="B162" s="158"/>
      <c r="C162" s="366"/>
      <c r="D162" s="367"/>
      <c r="E162" s="219"/>
      <c r="F162" s="368"/>
      <c r="G162" s="219"/>
      <c r="H162" s="369"/>
      <c r="I162" s="576"/>
      <c r="J162" s="576"/>
      <c r="K162" s="219"/>
      <c r="L162" s="219"/>
      <c r="M162" s="371"/>
      <c r="N162" s="158"/>
      <c r="O162" s="121"/>
      <c r="P162" s="219"/>
      <c r="Q162" s="372"/>
      <c r="R162" s="372"/>
      <c r="S162" s="372"/>
      <c r="T162" s="372"/>
      <c r="U162" s="210" t="s">
        <v>87</v>
      </c>
      <c r="V162" s="354"/>
      <c r="W162" s="219"/>
    </row>
    <row r="163" spans="1:23" ht="15.75" thickBot="1" x14ac:dyDescent="0.3">
      <c r="A163" s="121"/>
      <c r="B163" s="141"/>
      <c r="C163" s="163"/>
      <c r="D163" s="247"/>
      <c r="E163" s="373" t="s">
        <v>89</v>
      </c>
      <c r="F163" s="665"/>
      <c r="G163" s="374" t="s">
        <v>90</v>
      </c>
      <c r="H163" s="375"/>
      <c r="I163" s="237" t="str">
        <f>S163</f>
        <v xml:space="preserve">*obligatorisk </v>
      </c>
      <c r="J163" s="577"/>
      <c r="K163" s="376"/>
      <c r="L163" s="376"/>
      <c r="M163" s="377"/>
      <c r="N163" s="158"/>
      <c r="O163" s="121"/>
      <c r="P163" s="575" t="str">
        <f>P160&amp;"a"</f>
        <v>3a</v>
      </c>
      <c r="Q163" s="253" t="str">
        <f>D161</f>
        <v>Tiltaket</v>
      </c>
      <c r="R163" s="378">
        <f>F163</f>
        <v>0</v>
      </c>
      <c r="S163" s="253" t="str" cm="1">
        <f t="array" ref="S163">_xlfn.IFS(F163="",$R$7,TRUE,"")</f>
        <v xml:space="preserve">*obligatorisk </v>
      </c>
      <c r="T163" s="379" t="s">
        <v>87</v>
      </c>
      <c r="U163" s="210" t="s">
        <v>87</v>
      </c>
    </row>
    <row r="164" spans="1:23" ht="15.75" thickTop="1" x14ac:dyDescent="0.25">
      <c r="A164" s="121"/>
      <c r="B164" s="141"/>
      <c r="C164" s="163"/>
      <c r="D164" s="247"/>
      <c r="E164" s="464" t="s">
        <v>91</v>
      </c>
      <c r="F164" s="651"/>
      <c r="G164" s="374" t="s">
        <v>90</v>
      </c>
      <c r="H164" s="380"/>
      <c r="I164" s="237" t="str">
        <f>S164</f>
        <v/>
      </c>
      <c r="J164" s="362"/>
      <c r="M164" s="381"/>
      <c r="N164" s="141"/>
      <c r="O164" s="121"/>
      <c r="Q164" s="253" t="str">
        <f>E164</f>
        <v xml:space="preserve">hvis tolk: hvilket tiltak er tolken brukt i? </v>
      </c>
      <c r="R164" s="378">
        <f>F164</f>
        <v>0</v>
      </c>
      <c r="S164" s="253" t="str" cm="1">
        <f t="array" ref="S164">_xlfn.IFS(AND(IFERROR(SEARCH("tolk",F163),0)&gt;0,F164=""),$R$7,TRUE,"")</f>
        <v/>
      </c>
      <c r="T164" s="379" t="s">
        <v>87</v>
      </c>
      <c r="U164" s="210" t="s">
        <v>87</v>
      </c>
    </row>
    <row r="165" spans="1:23" ht="8.1" customHeight="1" x14ac:dyDescent="0.25">
      <c r="A165" s="121"/>
      <c r="B165" s="141"/>
      <c r="C165" s="163"/>
      <c r="D165" s="247"/>
      <c r="E165" s="382"/>
      <c r="F165" s="382"/>
      <c r="G165" s="374"/>
      <c r="H165" s="375"/>
      <c r="I165" s="383"/>
      <c r="J165" s="577"/>
      <c r="K165" s="376"/>
      <c r="L165" s="376"/>
      <c r="M165" s="377"/>
      <c r="N165" s="158"/>
      <c r="O165" s="121"/>
      <c r="P165" s="219"/>
      <c r="Q165" s="353"/>
      <c r="R165" s="353"/>
      <c r="S165" s="353"/>
      <c r="T165" s="353"/>
      <c r="U165" s="210" t="s">
        <v>87</v>
      </c>
    </row>
    <row r="166" spans="1:23" x14ac:dyDescent="0.25">
      <c r="A166" s="121"/>
      <c r="B166" s="141"/>
      <c r="C166" s="163"/>
      <c r="D166" s="247"/>
      <c r="E166" s="384" t="s">
        <v>92</v>
      </c>
      <c r="F166" s="167"/>
      <c r="G166" s="385"/>
      <c r="H166" s="380"/>
      <c r="I166" s="386"/>
      <c r="J166" s="362"/>
      <c r="K166" s="362"/>
      <c r="L166" s="362"/>
      <c r="M166" s="381"/>
      <c r="N166" s="141"/>
      <c r="O166" s="121"/>
      <c r="Q166" s="372"/>
      <c r="R166" s="372"/>
      <c r="S166" s="372"/>
      <c r="T166" s="372"/>
      <c r="U166" s="210" t="s">
        <v>87</v>
      </c>
    </row>
    <row r="167" spans="1:23" ht="15.75" thickBot="1" x14ac:dyDescent="0.3">
      <c r="A167" s="121"/>
      <c r="B167" s="141"/>
      <c r="C167" s="163"/>
      <c r="D167" s="247"/>
      <c r="E167" s="387" t="s">
        <v>93</v>
      </c>
      <c r="F167" s="662"/>
      <c r="G167" s="374" t="s">
        <v>90</v>
      </c>
      <c r="H167" s="380"/>
      <c r="I167" s="237" t="str">
        <f>S167</f>
        <v xml:space="preserve">*obligatorisk </v>
      </c>
      <c r="J167" s="362"/>
      <c r="K167" s="388"/>
      <c r="L167" s="388"/>
      <c r="M167" s="381"/>
      <c r="N167" s="141"/>
      <c r="O167" s="121"/>
      <c r="Q167" s="253" t="str">
        <f>E167</f>
        <v xml:space="preserve">arbeidstimer per uke </v>
      </c>
      <c r="R167" s="389">
        <f>F167</f>
        <v>0</v>
      </c>
      <c r="S167" s="253" t="str" cm="1">
        <f t="array" ref="S167">_xlfn.IFS(F167="",$R$7,TRUE,"")</f>
        <v xml:space="preserve">*obligatorisk </v>
      </c>
      <c r="T167" s="379" t="s">
        <v>87</v>
      </c>
      <c r="U167" s="210" t="s">
        <v>87</v>
      </c>
    </row>
    <row r="168" spans="1:23" ht="15.75" thickTop="1" x14ac:dyDescent="0.25">
      <c r="A168" s="121"/>
      <c r="B168" s="141"/>
      <c r="C168" s="163"/>
      <c r="D168" s="247"/>
      <c r="E168" s="387" t="s">
        <v>94</v>
      </c>
      <c r="F168" s="663"/>
      <c r="G168" s="374" t="s">
        <v>90</v>
      </c>
      <c r="H168" s="380"/>
      <c r="I168" s="237" t="str">
        <f>S168</f>
        <v xml:space="preserve">*obligatorisk </v>
      </c>
      <c r="J168" s="362"/>
      <c r="K168" s="388"/>
      <c r="L168" s="388"/>
      <c r="M168" s="381"/>
      <c r="N168" s="141"/>
      <c r="O168" s="121"/>
      <c r="Q168" s="253" t="str">
        <f>E168</f>
        <v xml:space="preserve">arbeidsuker i tilskuddperioden </v>
      </c>
      <c r="R168" s="389">
        <f>F168</f>
        <v>0</v>
      </c>
      <c r="S168" s="253" t="str" cm="1">
        <f t="array" ref="S168">_xlfn.IFS(F168="",$R$7,TRUE,"")</f>
        <v xml:space="preserve">*obligatorisk </v>
      </c>
      <c r="T168" s="379" t="s">
        <v>87</v>
      </c>
      <c r="U168" s="210" t="s">
        <v>87</v>
      </c>
    </row>
    <row r="169" spans="1:23" ht="15.75" thickBot="1" x14ac:dyDescent="0.3">
      <c r="A169" s="121"/>
      <c r="B169" s="141"/>
      <c r="C169" s="163"/>
      <c r="D169" s="247"/>
      <c r="E169" s="387" t="s">
        <v>95</v>
      </c>
      <c r="F169" s="664">
        <f>R169</f>
        <v>0</v>
      </c>
      <c r="G169" s="185"/>
      <c r="H169" s="380"/>
      <c r="I169" s="237"/>
      <c r="J169" s="362"/>
      <c r="K169" s="362"/>
      <c r="L169" s="362"/>
      <c r="M169" s="381"/>
      <c r="N169" s="141"/>
      <c r="O169" s="121"/>
      <c r="Q169" s="253" t="str">
        <f>E169</f>
        <v xml:space="preserve">arbeidstimer totalt </v>
      </c>
      <c r="R169" s="389">
        <f>R167*R168</f>
        <v>0</v>
      </c>
      <c r="S169" s="253"/>
      <c r="T169" s="379" t="s">
        <v>87</v>
      </c>
      <c r="U169" s="210" t="s">
        <v>87</v>
      </c>
    </row>
    <row r="170" spans="1:23" ht="8.1" customHeight="1" thickTop="1" thickBot="1" x14ac:dyDescent="0.3">
      <c r="A170" s="121"/>
      <c r="B170" s="141"/>
      <c r="C170" s="163"/>
      <c r="D170" s="247"/>
      <c r="E170" s="249"/>
      <c r="F170" s="390"/>
      <c r="G170" s="185"/>
      <c r="H170" s="380"/>
      <c r="I170" s="237"/>
      <c r="J170" s="362"/>
      <c r="K170" s="362"/>
      <c r="L170" s="362"/>
      <c r="M170" s="381"/>
      <c r="N170" s="141"/>
      <c r="O170" s="121"/>
      <c r="Q170" s="391"/>
      <c r="R170" s="391"/>
      <c r="S170" s="391"/>
      <c r="T170" s="391"/>
      <c r="U170" s="210" t="s">
        <v>87</v>
      </c>
    </row>
    <row r="171" spans="1:23" ht="15.75" thickTop="1" x14ac:dyDescent="0.25">
      <c r="A171" s="121"/>
      <c r="B171" s="141"/>
      <c r="C171" s="163"/>
      <c r="D171" s="247"/>
      <c r="E171" s="384" t="str">
        <f>"Ubekvemstillegg for de "&amp;IF(F169=0,"timene:",F169&amp;" timene:")</f>
        <v>Ubekvemstillegg for de timene:</v>
      </c>
      <c r="F171" s="392"/>
      <c r="H171" s="380"/>
      <c r="I171" s="237"/>
      <c r="J171" s="362"/>
      <c r="K171" s="362"/>
      <c r="L171" s="362"/>
      <c r="M171" s="381"/>
      <c r="N171" s="141"/>
      <c r="O171" s="121"/>
      <c r="Q171" s="393" t="s">
        <v>96</v>
      </c>
      <c r="R171" s="394">
        <f>(R169-R172-R173)</f>
        <v>0</v>
      </c>
      <c r="S171" s="393"/>
      <c r="T171" s="395" t="e">
        <f>R171/R169</f>
        <v>#DIV/0!</v>
      </c>
      <c r="U171" s="210" t="s">
        <v>87</v>
      </c>
    </row>
    <row r="172" spans="1:23" ht="15.75" thickBot="1" x14ac:dyDescent="0.3">
      <c r="A172" s="121"/>
      <c r="B172" s="141"/>
      <c r="C172" s="163"/>
      <c r="D172" s="247"/>
      <c r="E172" s="396" t="s">
        <v>97</v>
      </c>
      <c r="F172" s="657">
        <v>0</v>
      </c>
      <c r="G172" s="374" t="s">
        <v>90</v>
      </c>
      <c r="H172" s="380"/>
      <c r="I172" s="237"/>
      <c r="J172" s="362"/>
      <c r="K172" s="362"/>
      <c r="L172" s="362"/>
      <c r="M172" s="381"/>
      <c r="N172" s="141"/>
      <c r="O172" s="121"/>
      <c r="Q172" s="253" t="str">
        <f>E172</f>
        <v>arbeidstimer kveld</v>
      </c>
      <c r="R172" s="389">
        <f>F172</f>
        <v>0</v>
      </c>
      <c r="S172" s="253"/>
      <c r="T172" s="397" t="e">
        <f>R172/R169</f>
        <v>#DIV/0!</v>
      </c>
      <c r="U172" s="210" t="s">
        <v>87</v>
      </c>
    </row>
    <row r="173" spans="1:23" ht="16.5" thickTop="1" thickBot="1" x14ac:dyDescent="0.3">
      <c r="A173" s="121"/>
      <c r="B173" s="141"/>
      <c r="C173" s="163"/>
      <c r="D173" s="247"/>
      <c r="E173" s="396" t="s">
        <v>98</v>
      </c>
      <c r="F173" s="658">
        <v>0</v>
      </c>
      <c r="G173" s="374" t="s">
        <v>90</v>
      </c>
      <c r="H173" s="380"/>
      <c r="I173" s="237"/>
      <c r="J173" s="362"/>
      <c r="K173" s="362"/>
      <c r="L173" s="362"/>
      <c r="M173" s="381"/>
      <c r="N173" s="141"/>
      <c r="O173" s="121"/>
      <c r="Q173" s="253" t="str">
        <f t="shared" ref="Q173" si="22">E173</f>
        <v>arbeidstimer natt</v>
      </c>
      <c r="R173" s="389">
        <f t="shared" ref="R173" si="23">F173</f>
        <v>0</v>
      </c>
      <c r="S173" s="253"/>
      <c r="T173" s="397" t="e">
        <f>R173/R169</f>
        <v>#DIV/0!</v>
      </c>
      <c r="U173" s="210" t="s">
        <v>87</v>
      </c>
    </row>
    <row r="174" spans="1:23" ht="8.1" customHeight="1" thickTop="1" x14ac:dyDescent="0.25">
      <c r="A174" s="121"/>
      <c r="B174" s="141"/>
      <c r="C174" s="163"/>
      <c r="D174" s="247"/>
      <c r="E174" s="249"/>
      <c r="F174" s="659"/>
      <c r="G174" s="185"/>
      <c r="H174" s="380"/>
      <c r="I174" s="237"/>
      <c r="J174" s="362"/>
      <c r="K174" s="362"/>
      <c r="L174" s="362"/>
      <c r="M174" s="381"/>
      <c r="N174" s="141"/>
      <c r="O174" s="121"/>
      <c r="Q174" s="391"/>
      <c r="R174" s="391"/>
      <c r="S174" s="391"/>
      <c r="T174" s="391"/>
      <c r="U174" s="210" t="s">
        <v>87</v>
      </c>
    </row>
    <row r="175" spans="1:23" ht="15.75" thickBot="1" x14ac:dyDescent="0.3">
      <c r="A175" s="121"/>
      <c r="B175" s="141"/>
      <c r="C175" s="163"/>
      <c r="D175" s="247"/>
      <c r="E175" s="396" t="s">
        <v>99</v>
      </c>
      <c r="F175" s="660">
        <v>0</v>
      </c>
      <c r="G175" s="374" t="s">
        <v>90</v>
      </c>
      <c r="H175" s="380"/>
      <c r="I175" s="237"/>
      <c r="J175" s="362"/>
      <c r="K175" s="362"/>
      <c r="L175" s="362"/>
      <c r="M175" s="381"/>
      <c r="N175" s="141"/>
      <c r="O175" s="121"/>
      <c r="Q175" s="393" t="str">
        <f t="shared" ref="Q175:Q177" si="24">E175</f>
        <v>arbeidstimer helg</v>
      </c>
      <c r="R175" s="394">
        <f t="shared" ref="R175:R177" si="25">F175</f>
        <v>0</v>
      </c>
      <c r="S175" s="393"/>
      <c r="T175" s="379" t="s">
        <v>87</v>
      </c>
      <c r="U175" s="210" t="s">
        <v>87</v>
      </c>
    </row>
    <row r="176" spans="1:23" ht="16.5" thickTop="1" thickBot="1" x14ac:dyDescent="0.3">
      <c r="A176" s="121"/>
      <c r="B176" s="141"/>
      <c r="C176" s="163"/>
      <c r="D176" s="247"/>
      <c r="E176" s="396" t="s">
        <v>100</v>
      </c>
      <c r="F176" s="661">
        <v>0</v>
      </c>
      <c r="G176" s="374" t="s">
        <v>90</v>
      </c>
      <c r="H176" s="380"/>
      <c r="I176" s="237"/>
      <c r="J176" s="362"/>
      <c r="K176" s="362"/>
      <c r="L176" s="362"/>
      <c r="M176" s="381"/>
      <c r="N176" s="141"/>
      <c r="O176" s="121"/>
      <c r="Q176" s="253" t="str">
        <f t="shared" si="24"/>
        <v>arbeidstimer helligdag</v>
      </c>
      <c r="R176" s="389">
        <f t="shared" si="25"/>
        <v>0</v>
      </c>
      <c r="S176" s="253"/>
      <c r="T176" s="379" t="s">
        <v>87</v>
      </c>
      <c r="U176" s="210" t="s">
        <v>87</v>
      </c>
    </row>
    <row r="177" spans="1:23" ht="15.75" thickTop="1" x14ac:dyDescent="0.25">
      <c r="A177" s="121"/>
      <c r="B177" s="141"/>
      <c r="C177" s="163"/>
      <c r="D177" s="247"/>
      <c r="E177" s="396" t="s">
        <v>101</v>
      </c>
      <c r="F177" s="661">
        <v>0</v>
      </c>
      <c r="G177" s="374" t="s">
        <v>90</v>
      </c>
      <c r="H177" s="380"/>
      <c r="I177" s="237"/>
      <c r="J177" s="362"/>
      <c r="K177" s="362"/>
      <c r="L177" s="362"/>
      <c r="M177" s="381"/>
      <c r="N177" s="141"/>
      <c r="O177" s="121"/>
      <c r="Q177" s="253" t="str">
        <f t="shared" si="24"/>
        <v>arbeidstimer helligdag helg</v>
      </c>
      <c r="R177" s="389">
        <f t="shared" si="25"/>
        <v>0</v>
      </c>
      <c r="S177" s="253"/>
      <c r="T177" s="379" t="s">
        <v>87</v>
      </c>
      <c r="U177" s="210" t="s">
        <v>87</v>
      </c>
    </row>
    <row r="178" spans="1:23" x14ac:dyDescent="0.25">
      <c r="A178" s="121"/>
      <c r="B178" s="141"/>
      <c r="C178" s="163"/>
      <c r="D178" s="256"/>
      <c r="E178" s="398"/>
      <c r="F178" s="398"/>
      <c r="G178" s="399"/>
      <c r="H178" s="400"/>
      <c r="I178" s="237"/>
      <c r="J178" s="362"/>
      <c r="K178" s="362"/>
      <c r="L178" s="362"/>
      <c r="M178" s="381"/>
      <c r="N178" s="141"/>
      <c r="O178" s="121"/>
      <c r="Q178" s="353"/>
      <c r="R178" s="353"/>
      <c r="S178" s="353"/>
      <c r="T178" s="353"/>
      <c r="U178" s="210" t="s">
        <v>87</v>
      </c>
    </row>
    <row r="179" spans="1:23" ht="8.1" customHeight="1" x14ac:dyDescent="0.25">
      <c r="A179" s="121"/>
      <c r="B179" s="141"/>
      <c r="C179" s="163"/>
      <c r="D179" s="164"/>
      <c r="E179" s="382"/>
      <c r="F179" s="382"/>
      <c r="G179" s="401"/>
      <c r="H179" s="382"/>
      <c r="I179" s="237"/>
      <c r="J179" s="362"/>
      <c r="K179" s="362"/>
      <c r="L179" s="362"/>
      <c r="M179" s="381"/>
      <c r="N179" s="141"/>
      <c r="O179" s="121"/>
      <c r="Q179" s="402"/>
      <c r="R179" s="402"/>
      <c r="S179" s="402"/>
      <c r="T179" s="402"/>
      <c r="U179" s="210" t="s">
        <v>87</v>
      </c>
    </row>
    <row r="180" spans="1:23" ht="30" customHeight="1" x14ac:dyDescent="0.35">
      <c r="A180" s="355"/>
      <c r="B180" s="356"/>
      <c r="C180" s="357"/>
      <c r="D180" s="358" t="s">
        <v>102</v>
      </c>
      <c r="E180" s="359"/>
      <c r="F180" s="360"/>
      <c r="G180" s="359"/>
      <c r="H180" s="361"/>
      <c r="I180" s="403"/>
      <c r="J180" s="403"/>
      <c r="K180" s="363"/>
      <c r="L180" s="363"/>
      <c r="M180" s="364"/>
      <c r="N180" s="356"/>
      <c r="O180" s="355"/>
      <c r="P180" s="363"/>
      <c r="Q180" s="365"/>
      <c r="R180" s="365"/>
      <c r="S180" s="365"/>
      <c r="T180" s="365"/>
      <c r="U180" s="210" t="s">
        <v>87</v>
      </c>
      <c r="W180" s="363"/>
    </row>
    <row r="181" spans="1:23" ht="8.1" customHeight="1" x14ac:dyDescent="0.25">
      <c r="A181" s="121"/>
      <c r="B181" s="158"/>
      <c r="C181" s="366"/>
      <c r="D181" s="404"/>
      <c r="E181" s="405"/>
      <c r="F181" s="368"/>
      <c r="G181" s="219"/>
      <c r="H181" s="369"/>
      <c r="I181" s="237"/>
      <c r="J181" s="576"/>
      <c r="K181" s="219"/>
      <c r="L181" s="219"/>
      <c r="M181" s="371"/>
      <c r="N181" s="158"/>
      <c r="O181" s="121"/>
      <c r="P181" s="219"/>
      <c r="Q181" s="402"/>
      <c r="R181" s="402"/>
      <c r="S181" s="402"/>
      <c r="T181" s="402"/>
      <c r="U181" s="210" t="s">
        <v>87</v>
      </c>
      <c r="V181" s="354"/>
      <c r="W181" s="219"/>
    </row>
    <row r="182" spans="1:23" ht="15.75" thickBot="1" x14ac:dyDescent="0.3">
      <c r="A182" s="121"/>
      <c r="B182" s="141"/>
      <c r="C182" s="163"/>
      <c r="D182" s="247"/>
      <c r="E182" s="373" t="s">
        <v>103</v>
      </c>
      <c r="F182" s="651"/>
      <c r="G182" s="374" t="s">
        <v>90</v>
      </c>
      <c r="H182" s="380"/>
      <c r="I182" s="237" t="str">
        <f t="shared" ref="I182:I183" si="26">S182</f>
        <v xml:space="preserve">*obligatorisk </v>
      </c>
      <c r="J182" s="362"/>
      <c r="K182" s="362"/>
      <c r="L182" s="362"/>
      <c r="M182" s="381"/>
      <c r="N182" s="141"/>
      <c r="O182" s="121"/>
      <c r="P182" s="575" t="str">
        <f>P160&amp;"b"</f>
        <v>3b</v>
      </c>
      <c r="Q182" s="253" t="s">
        <v>104</v>
      </c>
      <c r="R182" s="406"/>
      <c r="S182" s="253" t="str" cm="1">
        <f t="array" ref="S182">_xlfn.IFS(F182="",$R$7,TRUE,"")</f>
        <v xml:space="preserve">*obligatorisk </v>
      </c>
      <c r="T182" s="379" t="s">
        <v>87</v>
      </c>
      <c r="U182" s="210" t="s">
        <v>87</v>
      </c>
    </row>
    <row r="183" spans="1:23" ht="15.75" thickTop="1" x14ac:dyDescent="0.25">
      <c r="A183" s="121"/>
      <c r="B183" s="141"/>
      <c r="C183" s="163"/>
      <c r="D183" s="247"/>
      <c r="E183" s="373" t="s">
        <v>105</v>
      </c>
      <c r="F183" s="652" t="s">
        <v>129</v>
      </c>
      <c r="G183" s="374" t="s">
        <v>90</v>
      </c>
      <c r="H183" s="380"/>
      <c r="I183" s="237" t="str">
        <f t="shared" si="26"/>
        <v xml:space="preserve">*obligatorisk </v>
      </c>
      <c r="J183" s="407"/>
      <c r="K183" s="408"/>
      <c r="L183" s="408"/>
      <c r="M183" s="381"/>
      <c r="N183" s="141"/>
      <c r="O183" s="121"/>
      <c r="Q183" s="253" t="str">
        <f>E183</f>
        <v>alminnelig arbeidstid for full stilling</v>
      </c>
      <c r="R183" s="389">
        <f>_xlfn.XLOOKUP(F183,Innstillinger!$B$48:$B$53,Innstillinger!$C$48:$C$53,0,)</f>
        <v>0</v>
      </c>
      <c r="S183" s="253" t="str" cm="1">
        <f t="array" ref="S183">_xlfn.IFS(F183="",$R$7,F183=Innstillinger!$B$8,$R$7,TRUE,"")</f>
        <v xml:space="preserve">*obligatorisk </v>
      </c>
      <c r="T183" s="379" t="s">
        <v>87</v>
      </c>
      <c r="U183" s="210" t="s">
        <v>87</v>
      </c>
    </row>
    <row r="184" spans="1:23" ht="8.1" customHeight="1" x14ac:dyDescent="0.25">
      <c r="A184" s="121"/>
      <c r="B184" s="158"/>
      <c r="C184" s="366"/>
      <c r="D184" s="404"/>
      <c r="E184" s="405"/>
      <c r="F184" s="368"/>
      <c r="G184" s="219"/>
      <c r="H184" s="369"/>
      <c r="I184" s="237"/>
      <c r="J184" s="576"/>
      <c r="K184" s="219"/>
      <c r="L184" s="219"/>
      <c r="M184" s="371"/>
      <c r="N184" s="158"/>
      <c r="O184" s="121"/>
      <c r="P184" s="219"/>
      <c r="Q184" s="402"/>
      <c r="R184" s="402"/>
      <c r="S184" s="402"/>
      <c r="T184" s="402"/>
      <c r="U184" s="210" t="s">
        <v>87</v>
      </c>
      <c r="V184" s="354"/>
      <c r="W184" s="219"/>
    </row>
    <row r="185" spans="1:23" x14ac:dyDescent="0.25">
      <c r="A185" s="121"/>
      <c r="B185" s="141"/>
      <c r="C185" s="163"/>
      <c r="D185" s="247"/>
      <c r="E185" s="384" t="s">
        <v>107</v>
      </c>
      <c r="F185" s="409"/>
      <c r="G185" s="374"/>
      <c r="H185" s="380"/>
      <c r="I185" s="237"/>
      <c r="J185" s="362"/>
      <c r="K185" s="362"/>
      <c r="L185" s="362"/>
      <c r="M185" s="381"/>
      <c r="N185" s="141"/>
      <c r="O185" s="121"/>
      <c r="Q185" s="410"/>
      <c r="R185" s="411"/>
      <c r="S185" s="410"/>
      <c r="T185" s="410"/>
      <c r="U185" s="210" t="s">
        <v>87</v>
      </c>
    </row>
    <row r="186" spans="1:23" ht="15.75" thickBot="1" x14ac:dyDescent="0.3">
      <c r="A186" s="121"/>
      <c r="B186" s="141"/>
      <c r="C186" s="163"/>
      <c r="D186" s="247"/>
      <c r="E186" s="373" t="s">
        <v>108</v>
      </c>
      <c r="F186" s="653"/>
      <c r="G186" s="374" t="s">
        <v>90</v>
      </c>
      <c r="H186" s="380"/>
      <c r="I186" s="237" t="str">
        <f>S186</f>
        <v xml:space="preserve">*obligatorisk </v>
      </c>
      <c r="J186" s="362"/>
      <c r="K186" s="386"/>
      <c r="L186" s="386"/>
      <c r="M186" s="381"/>
      <c r="N186" s="141"/>
      <c r="O186" s="121"/>
      <c r="Q186" s="253" t="str">
        <f>E186</f>
        <v>årslønn for full stilling</v>
      </c>
      <c r="R186" s="412">
        <f>F186</f>
        <v>0</v>
      </c>
      <c r="S186" s="253" t="str" cm="1">
        <f t="array" ref="S186">_xlfn.IFS(R186=0,$R$7,ISERROR(R201)=TRUE,"",R201&gt;$R$5,$R$9,TRUE,"")</f>
        <v xml:space="preserve">*obligatorisk </v>
      </c>
      <c r="T186" s="379" t="s">
        <v>87</v>
      </c>
      <c r="U186" s="210" t="s">
        <v>87</v>
      </c>
    </row>
    <row r="187" spans="1:23" ht="16.5" thickTop="1" thickBot="1" x14ac:dyDescent="0.3">
      <c r="A187" s="121"/>
      <c r="B187" s="141"/>
      <c r="C187" s="163"/>
      <c r="D187" s="247"/>
      <c r="E187" s="413" t="s">
        <v>109</v>
      </c>
      <c r="F187" s="654">
        <v>0</v>
      </c>
      <c r="G187" s="374" t="s">
        <v>90</v>
      </c>
      <c r="H187" s="380"/>
      <c r="I187" s="237" t="str">
        <f t="shared" ref="I187" si="27">S187</f>
        <v/>
      </c>
      <c r="J187" s="362"/>
      <c r="K187" s="386"/>
      <c r="L187" s="386"/>
      <c r="M187" s="381"/>
      <c r="N187" s="141"/>
      <c r="O187" s="121"/>
      <c r="Q187" s="253" t="str">
        <f t="shared" ref="Q187:Q190" si="28">E187</f>
        <v xml:space="preserve">timetillegg kveld </v>
      </c>
      <c r="R187" s="412">
        <f>F187</f>
        <v>0</v>
      </c>
      <c r="S187" s="253" t="str" cm="1">
        <f t="array" ref="S187">_xlfn.IFS(AND(R172&gt;0,R187=0),$R$7,TRUE,"")</f>
        <v/>
      </c>
      <c r="T187" s="414">
        <f>R187*R172</f>
        <v>0</v>
      </c>
      <c r="U187" s="210" t="s">
        <v>87</v>
      </c>
    </row>
    <row r="188" spans="1:23" ht="16.5" thickTop="1" thickBot="1" x14ac:dyDescent="0.3">
      <c r="A188" s="121"/>
      <c r="B188" s="141"/>
      <c r="C188" s="163"/>
      <c r="D188" s="247"/>
      <c r="E188" s="413" t="s">
        <v>110</v>
      </c>
      <c r="F188" s="655">
        <v>0</v>
      </c>
      <c r="G188" s="374" t="s">
        <v>90</v>
      </c>
      <c r="H188" s="380"/>
      <c r="I188" s="237" t="str">
        <f>S188</f>
        <v/>
      </c>
      <c r="J188" s="362"/>
      <c r="K188" s="386"/>
      <c r="L188" s="386"/>
      <c r="M188" s="381"/>
      <c r="N188" s="141"/>
      <c r="O188" s="121"/>
      <c r="Q188" s="253" t="str">
        <f t="shared" si="28"/>
        <v xml:space="preserve">timetillegg natt </v>
      </c>
      <c r="R188" s="412">
        <f t="shared" ref="R188:R189" si="29">F188</f>
        <v>0</v>
      </c>
      <c r="S188" s="253" t="str" cm="1">
        <f t="array" ref="S188">_xlfn.IFS(AND(R173&gt;0,R188=0),$R$7,TRUE,"")</f>
        <v/>
      </c>
      <c r="T188" s="414">
        <f>R188*R173</f>
        <v>0</v>
      </c>
      <c r="U188" s="210" t="s">
        <v>87</v>
      </c>
    </row>
    <row r="189" spans="1:23" ht="16.5" thickTop="1" thickBot="1" x14ac:dyDescent="0.3">
      <c r="A189" s="121"/>
      <c r="B189" s="141"/>
      <c r="C189" s="163"/>
      <c r="D189" s="247"/>
      <c r="E189" s="413" t="s">
        <v>111</v>
      </c>
      <c r="F189" s="654">
        <v>0</v>
      </c>
      <c r="G189" s="374" t="s">
        <v>90</v>
      </c>
      <c r="H189" s="380"/>
      <c r="I189" s="237" t="str">
        <f>S189</f>
        <v/>
      </c>
      <c r="J189" s="362"/>
      <c r="K189" s="386"/>
      <c r="L189" s="386"/>
      <c r="M189" s="381"/>
      <c r="N189" s="141"/>
      <c r="O189" s="121"/>
      <c r="Q189" s="253" t="str">
        <f t="shared" si="28"/>
        <v>timetillegg helg</v>
      </c>
      <c r="R189" s="412">
        <f t="shared" si="29"/>
        <v>0</v>
      </c>
      <c r="S189" s="253" t="str" cm="1">
        <f t="array" ref="S189">_xlfn.IFS(AND(R175&gt;0,R189=0),$R$7,TRUE,"")</f>
        <v/>
      </c>
      <c r="T189" s="414">
        <f>R189*R175</f>
        <v>0</v>
      </c>
      <c r="U189" s="210" t="s">
        <v>87</v>
      </c>
    </row>
    <row r="190" spans="1:23" ht="15.75" thickTop="1" x14ac:dyDescent="0.25">
      <c r="A190" s="121"/>
      <c r="B190" s="141"/>
      <c r="C190" s="163"/>
      <c r="D190" s="247"/>
      <c r="E190" s="413" t="s">
        <v>112</v>
      </c>
      <c r="F190" s="656">
        <v>0</v>
      </c>
      <c r="G190" s="374" t="s">
        <v>90</v>
      </c>
      <c r="H190" s="380"/>
      <c r="I190" s="237" t="str">
        <f>S190</f>
        <v/>
      </c>
      <c r="J190" s="362"/>
      <c r="K190" s="386"/>
      <c r="L190" s="386"/>
      <c r="M190" s="381"/>
      <c r="N190" s="141"/>
      <c r="O190" s="121"/>
      <c r="Q190" s="253" t="str">
        <f t="shared" si="28"/>
        <v>prosenttillegg helligdag</v>
      </c>
      <c r="R190" s="415">
        <f>F190</f>
        <v>0</v>
      </c>
      <c r="S190" s="253" t="str" cm="1">
        <f t="array" ref="S190">_xlfn.IFS(AND(OR(R176&gt;0,R177&gt;0),R190=0),$R$7,TRUE,"")</f>
        <v/>
      </c>
      <c r="T190" s="414" t="e">
        <f>((R190*R176*T171*R199)+(R190*R176*T172*(R199+R187))+(R190*R176*T173*(R199+R188)))+((R190*R177*T171*(R199+R189))+(R190*R177*T172*(R199+R187+R189))+(R190*R177*T173*(R199+R188+R189)))</f>
        <v>#DIV/0!</v>
      </c>
      <c r="U190" s="210" t="s">
        <v>87</v>
      </c>
      <c r="V190" s="416"/>
    </row>
    <row r="191" spans="1:23" x14ac:dyDescent="0.25">
      <c r="A191" s="121"/>
      <c r="B191" s="141"/>
      <c r="C191" s="163"/>
      <c r="D191" s="247"/>
      <c r="E191" s="417" t="s">
        <v>113</v>
      </c>
      <c r="F191" s="418"/>
      <c r="G191" s="419"/>
      <c r="H191" s="380"/>
      <c r="I191" s="420"/>
      <c r="J191" s="407"/>
      <c r="K191" s="407"/>
      <c r="L191" s="407"/>
      <c r="M191" s="381"/>
      <c r="N191" s="141"/>
      <c r="O191" s="121"/>
      <c r="Q191" s="402"/>
      <c r="R191" s="402"/>
      <c r="S191" s="402"/>
      <c r="T191" s="402"/>
      <c r="U191" s="210" t="s">
        <v>87</v>
      </c>
    </row>
    <row r="192" spans="1:23" ht="8.1" customHeight="1" thickBot="1" x14ac:dyDescent="0.3">
      <c r="A192" s="121"/>
      <c r="B192" s="141"/>
      <c r="C192" s="163"/>
      <c r="D192" s="247"/>
      <c r="E192" s="249"/>
      <c r="F192" s="390"/>
      <c r="G192" s="185"/>
      <c r="H192" s="380"/>
      <c r="I192" s="386"/>
      <c r="J192" s="362"/>
      <c r="K192" s="362"/>
      <c r="L192" s="362"/>
      <c r="M192" s="381"/>
      <c r="N192" s="141"/>
      <c r="O192" s="121"/>
      <c r="Q192" s="402"/>
      <c r="R192" s="402"/>
      <c r="S192" s="402"/>
      <c r="T192" s="402"/>
      <c r="U192" s="210" t="s">
        <v>87</v>
      </c>
    </row>
    <row r="193" spans="1:23" ht="15.75" thickTop="1" x14ac:dyDescent="0.25">
      <c r="A193" s="121"/>
      <c r="B193" s="141"/>
      <c r="C193" s="163"/>
      <c r="D193" s="247"/>
      <c r="E193" s="384" t="s">
        <v>114</v>
      </c>
      <c r="F193" s="409"/>
      <c r="G193" s="374"/>
      <c r="H193" s="380"/>
      <c r="I193" s="386"/>
      <c r="J193" s="362"/>
      <c r="K193" s="362"/>
      <c r="L193" s="362"/>
      <c r="M193" s="381"/>
      <c r="N193" s="141"/>
      <c r="O193" s="121"/>
      <c r="Q193" s="410"/>
      <c r="R193" s="411"/>
      <c r="S193" s="410"/>
      <c r="T193" s="410"/>
      <c r="U193" s="210" t="s">
        <v>87</v>
      </c>
    </row>
    <row r="194" spans="1:23" ht="15.75" thickBot="1" x14ac:dyDescent="0.3">
      <c r="A194" s="121"/>
      <c r="B194" s="141"/>
      <c r="C194" s="163"/>
      <c r="D194" s="247"/>
      <c r="E194" s="373" t="s">
        <v>115</v>
      </c>
      <c r="F194" s="643" t="s">
        <v>129</v>
      </c>
      <c r="G194" s="374" t="s">
        <v>90</v>
      </c>
      <c r="H194" s="380"/>
      <c r="I194" s="237" t="str">
        <f t="shared" ref="I194" si="30">S194</f>
        <v xml:space="preserve">*obligatorisk </v>
      </c>
      <c r="J194" s="421"/>
      <c r="K194" s="421"/>
      <c r="L194" s="421"/>
      <c r="M194" s="381"/>
      <c r="N194" s="141"/>
      <c r="O194" s="121"/>
      <c r="Q194" s="253" t="str">
        <f>E194</f>
        <v>sats feriepenger</v>
      </c>
      <c r="R194" s="422" t="str">
        <f>F194</f>
        <v>Velg fra liste….</v>
      </c>
      <c r="S194" s="253" t="str" cm="1">
        <f t="array" ref="S194">_xlfn.IFS(F194="",$R$7,F194=Innstillinger!$B$8,$R$7,TRUE,"")</f>
        <v xml:space="preserve">*obligatorisk </v>
      </c>
      <c r="T194" s="379" t="s">
        <v>87</v>
      </c>
      <c r="U194" s="210" t="s">
        <v>87</v>
      </c>
    </row>
    <row r="195" spans="1:23" ht="16.5" thickTop="1" thickBot="1" x14ac:dyDescent="0.3">
      <c r="A195" s="121"/>
      <c r="B195" s="141"/>
      <c r="C195" s="163"/>
      <c r="D195" s="247"/>
      <c r="E195" s="373" t="s">
        <v>116</v>
      </c>
      <c r="F195" s="648">
        <v>0.11</v>
      </c>
      <c r="G195" s="374" t="s">
        <v>90</v>
      </c>
      <c r="H195" s="573"/>
      <c r="I195" s="237"/>
      <c r="J195" s="362"/>
      <c r="K195" s="423"/>
      <c r="L195" s="423"/>
      <c r="M195" s="381"/>
      <c r="N195" s="141"/>
      <c r="O195" s="121"/>
      <c r="Q195" s="253" t="str">
        <f>E195</f>
        <v>sats pensjon</v>
      </c>
      <c r="R195" s="422">
        <f>F195+F196</f>
        <v>0.09</v>
      </c>
      <c r="S195" s="253"/>
      <c r="T195" s="379" t="s">
        <v>87</v>
      </c>
      <c r="U195" s="210" t="s">
        <v>87</v>
      </c>
    </row>
    <row r="196" spans="1:23" ht="16.5" thickTop="1" thickBot="1" x14ac:dyDescent="0.3">
      <c r="A196" s="121"/>
      <c r="B196" s="141"/>
      <c r="C196" s="163"/>
      <c r="D196" s="247"/>
      <c r="E196" s="413" t="s">
        <v>279</v>
      </c>
      <c r="F196" s="666">
        <v>-0.02</v>
      </c>
      <c r="G196" s="374" t="s">
        <v>90</v>
      </c>
      <c r="H196" s="573"/>
      <c r="I196" s="237" t="str">
        <f t="shared" ref="I196:I197" si="31">S196</f>
        <v/>
      </c>
      <c r="J196" s="362"/>
      <c r="K196" s="423"/>
      <c r="L196" s="423"/>
      <c r="M196" s="381"/>
      <c r="N196" s="141"/>
      <c r="O196" s="121"/>
      <c r="Q196" s="253"/>
      <c r="R196" s="422"/>
      <c r="S196" s="253" t="str" cm="1">
        <f t="array" ref="S196">_xlfn.IFS(F196=0%,$R$9,TRUE,"")</f>
        <v/>
      </c>
      <c r="T196" s="379"/>
    </row>
    <row r="197" spans="1:23" ht="15.75" thickTop="1" x14ac:dyDescent="0.25">
      <c r="A197" s="121"/>
      <c r="B197" s="141"/>
      <c r="C197" s="163"/>
      <c r="D197" s="247"/>
      <c r="E197" s="424" t="s">
        <v>117</v>
      </c>
      <c r="F197" s="644" t="s">
        <v>129</v>
      </c>
      <c r="G197" s="374" t="s">
        <v>90</v>
      </c>
      <c r="H197" s="380"/>
      <c r="I197" s="237" t="str">
        <f t="shared" si="31"/>
        <v xml:space="preserve">*obligatorisk </v>
      </c>
      <c r="J197" s="423"/>
      <c r="K197" s="237"/>
      <c r="L197" s="237"/>
      <c r="M197" s="381"/>
      <c r="N197" s="141"/>
      <c r="O197" s="121"/>
      <c r="Q197" s="253" t="str">
        <f>E197</f>
        <v>sats arbeidsgiveravgift</v>
      </c>
      <c r="R197" s="422" t="str">
        <f>F197</f>
        <v>Velg fra liste….</v>
      </c>
      <c r="S197" s="253" t="str" cm="1">
        <f t="array" ref="S197">_xlfn.IFS(F197="",$R$7,F197=Innstillinger!$B$8,$R$7,TRUE,"")</f>
        <v xml:space="preserve">*obligatorisk </v>
      </c>
      <c r="T197" s="379" t="s">
        <v>87</v>
      </c>
      <c r="U197" s="210" t="s">
        <v>87</v>
      </c>
    </row>
    <row r="198" spans="1:23" x14ac:dyDescent="0.25">
      <c r="A198" s="121"/>
      <c r="B198" s="141"/>
      <c r="C198" s="163"/>
      <c r="D198" s="247"/>
      <c r="E198" s="417" t="s">
        <v>118</v>
      </c>
      <c r="F198" s="418"/>
      <c r="G198" s="419"/>
      <c r="H198" s="380"/>
      <c r="I198" s="425"/>
      <c r="J198" s="407"/>
      <c r="K198" s="407"/>
      <c r="L198" s="407"/>
      <c r="M198" s="381"/>
      <c r="N198" s="141"/>
      <c r="O198" s="121"/>
      <c r="Q198" s="426" t="s">
        <v>119</v>
      </c>
      <c r="R198" s="427" t="str" cm="1">
        <f t="array" ref="R198">_xlfn.IFS(ISERROR(R212),"Nei",COUNTIF(I161:I197,$R$7)=0,"Ja",TRUE,"Nei")</f>
        <v>Nei</v>
      </c>
      <c r="S198" s="353"/>
      <c r="T198" s="353"/>
      <c r="U198" s="210" t="s">
        <v>87</v>
      </c>
      <c r="V198" s="210" t="s">
        <v>87</v>
      </c>
    </row>
    <row r="199" spans="1:23" ht="8.1" customHeight="1" x14ac:dyDescent="0.25">
      <c r="A199" s="121"/>
      <c r="B199" s="141"/>
      <c r="C199" s="163"/>
      <c r="D199" s="247"/>
      <c r="E199" s="249"/>
      <c r="F199" s="392"/>
      <c r="G199" s="185"/>
      <c r="H199" s="380"/>
      <c r="I199" s="425"/>
      <c r="J199" s="362"/>
      <c r="K199" s="362"/>
      <c r="L199" s="362"/>
      <c r="M199" s="381"/>
      <c r="N199" s="141"/>
      <c r="O199" s="121"/>
      <c r="Q199" s="372"/>
      <c r="R199" s="372"/>
      <c r="S199" s="372"/>
      <c r="T199" s="372"/>
      <c r="U199" s="210" t="s">
        <v>87</v>
      </c>
      <c r="V199" s="210" t="s">
        <v>87</v>
      </c>
    </row>
    <row r="200" spans="1:23" ht="15.75" thickBot="1" x14ac:dyDescent="0.3">
      <c r="A200" s="121"/>
      <c r="B200" s="141"/>
      <c r="C200" s="163"/>
      <c r="D200" s="247"/>
      <c r="E200" s="373" t="s">
        <v>120</v>
      </c>
      <c r="F200" s="428" t="str">
        <f>IF(R198="nei","",R200)</f>
        <v/>
      </c>
      <c r="G200" s="429"/>
      <c r="H200" s="380"/>
      <c r="I200" s="425" t="str">
        <f>S200</f>
        <v/>
      </c>
      <c r="J200" s="430"/>
      <c r="K200" s="430"/>
      <c r="L200" s="430"/>
      <c r="M200" s="381"/>
      <c r="N200" s="141"/>
      <c r="O200" s="121"/>
      <c r="P200" s="431"/>
      <c r="Q200" s="253" t="s">
        <v>43</v>
      </c>
      <c r="R200" s="432" t="e">
        <f>R186/R183/52</f>
        <v>#DIV/0!</v>
      </c>
      <c r="S200" s="253" t="str" cm="1">
        <f t="array" ref="S200">_xlfn.IFS(AND(I212=TRUE,R198="NEI"),$R$10,I212=TRUE,T200,TRUE,"")</f>
        <v/>
      </c>
      <c r="T200" s="433" t="e">
        <f>"➡️ "&amp;TEXT(R200,"# ##0")&amp;" kr =  "&amp;TEXT(R186,"# ##0")&amp;" kr årslønnn ÷  "&amp;TEXT(R183,"#,##")&amp;" timer/uke  ÷  52 uker"</f>
        <v>#DIV/0!</v>
      </c>
      <c r="U200" s="210" t="s">
        <v>87</v>
      </c>
    </row>
    <row r="201" spans="1:23" ht="15.75" thickTop="1" x14ac:dyDescent="0.25">
      <c r="A201" s="121"/>
      <c r="B201" s="141"/>
      <c r="C201" s="163"/>
      <c r="D201" s="247"/>
      <c r="E201" s="373" t="s">
        <v>121</v>
      </c>
      <c r="F201" s="434" t="str">
        <f>IF(R198="nei","",R201)</f>
        <v/>
      </c>
      <c r="G201" s="429"/>
      <c r="H201" s="380"/>
      <c r="I201" s="425" t="str">
        <f>S201</f>
        <v/>
      </c>
      <c r="J201" s="435"/>
      <c r="K201" s="435"/>
      <c r="L201" s="435"/>
      <c r="M201" s="381"/>
      <c r="N201" s="141"/>
      <c r="O201" s="121"/>
      <c r="Q201" s="253" t="s">
        <v>121</v>
      </c>
      <c r="R201" s="412" t="e">
        <f>(R200*(1+R194+R195+(R194*R195))*(1+R197))</f>
        <v>#DIV/0!</v>
      </c>
      <c r="S201" s="253" t="str" cm="1">
        <f t="array" ref="S201">_xlfn.IFS(AND(I212=TRUE,R198="NEI"),$R$10,I212=TRUE,T201,TRUE,"")</f>
        <v/>
      </c>
      <c r="T201" s="433" t="e">
        <f>"➡️ "&amp;TEXT(R201,"# ##0")&amp;" kr =  "&amp;TEXT(R200,"# ##0,00")&amp;" kr timelønn, uten sosiale utgifter x  sosiale utgifter"</f>
        <v>#DIV/0!</v>
      </c>
      <c r="U201" s="210" t="s">
        <v>87</v>
      </c>
    </row>
    <row r="202" spans="1:23" x14ac:dyDescent="0.25">
      <c r="A202" s="121"/>
      <c r="B202" s="141"/>
      <c r="C202" s="163"/>
      <c r="D202" s="256"/>
      <c r="E202" s="398"/>
      <c r="F202" s="398"/>
      <c r="G202" s="399"/>
      <c r="H202" s="400"/>
      <c r="I202" s="425"/>
      <c r="J202" s="362"/>
      <c r="K202" s="423"/>
      <c r="L202" s="423"/>
      <c r="M202" s="381"/>
      <c r="N202" s="141"/>
      <c r="O202" s="121"/>
      <c r="Q202" s="402"/>
      <c r="R202" s="402"/>
      <c r="S202" s="402"/>
      <c r="T202" s="402"/>
      <c r="U202" s="210" t="s">
        <v>87</v>
      </c>
    </row>
    <row r="203" spans="1:23" ht="8.1" customHeight="1" x14ac:dyDescent="0.25">
      <c r="A203" s="121"/>
      <c r="B203" s="141"/>
      <c r="C203" s="163"/>
      <c r="D203" s="164"/>
      <c r="E203" s="382"/>
      <c r="F203" s="382"/>
      <c r="G203" s="401"/>
      <c r="H203" s="382"/>
      <c r="I203" s="425"/>
      <c r="J203" s="362"/>
      <c r="K203" s="362"/>
      <c r="L203" s="362"/>
      <c r="M203" s="381"/>
      <c r="N203" s="141"/>
      <c r="O203" s="121"/>
      <c r="Q203" s="402"/>
      <c r="R203" s="402"/>
      <c r="S203" s="402"/>
      <c r="T203" s="402"/>
      <c r="U203" s="210" t="s">
        <v>87</v>
      </c>
    </row>
    <row r="204" spans="1:23" ht="30" customHeight="1" x14ac:dyDescent="0.35">
      <c r="A204" s="355"/>
      <c r="B204" s="356"/>
      <c r="C204" s="357"/>
      <c r="D204" s="358" t="s">
        <v>10</v>
      </c>
      <c r="E204" s="359"/>
      <c r="F204" s="360"/>
      <c r="G204" s="359"/>
      <c r="H204" s="361"/>
      <c r="I204" s="436"/>
      <c r="J204" s="363"/>
      <c r="K204" s="363"/>
      <c r="L204" s="363"/>
      <c r="M204" s="364"/>
      <c r="N204" s="356"/>
      <c r="O204" s="355"/>
      <c r="P204" s="363"/>
      <c r="Q204" s="365"/>
      <c r="R204" s="365"/>
      <c r="S204" s="365"/>
      <c r="T204" s="365"/>
      <c r="U204" s="210" t="s">
        <v>87</v>
      </c>
      <c r="W204" s="363"/>
    </row>
    <row r="205" spans="1:23" ht="8.1" customHeight="1" x14ac:dyDescent="0.25">
      <c r="A205" s="121"/>
      <c r="B205" s="158"/>
      <c r="C205" s="366"/>
      <c r="D205" s="404"/>
      <c r="E205" s="405"/>
      <c r="F205" s="368"/>
      <c r="G205" s="219"/>
      <c r="H205" s="369"/>
      <c r="I205" s="370"/>
      <c r="J205" s="219"/>
      <c r="K205" s="219"/>
      <c r="L205" s="219"/>
      <c r="M205" s="371"/>
      <c r="N205" s="158"/>
      <c r="O205" s="121"/>
      <c r="P205" s="219"/>
      <c r="Q205" s="402"/>
      <c r="R205" s="402"/>
      <c r="S205" s="402"/>
      <c r="T205" s="402"/>
      <c r="U205" s="210" t="s">
        <v>87</v>
      </c>
      <c r="V205" s="354"/>
      <c r="W205" s="219"/>
    </row>
    <row r="206" spans="1:23" ht="15.75" thickBot="1" x14ac:dyDescent="0.3">
      <c r="A206" s="121"/>
      <c r="B206" s="141"/>
      <c r="C206" s="163"/>
      <c r="D206" s="247"/>
      <c r="E206" s="382" t="s">
        <v>122</v>
      </c>
      <c r="F206" s="437" t="str">
        <f>IF(R198="nei","",R206)</f>
        <v/>
      </c>
      <c r="G206" s="438"/>
      <c r="H206" s="380"/>
      <c r="I206" s="425" t="str">
        <f t="shared" ref="I206:I210" si="32">S206</f>
        <v/>
      </c>
      <c r="J206" s="439"/>
      <c r="K206" s="439"/>
      <c r="L206" s="439"/>
      <c r="M206" s="381"/>
      <c r="N206" s="141"/>
      <c r="O206" s="121"/>
      <c r="P206" s="440"/>
      <c r="Q206" s="253" t="s">
        <v>122</v>
      </c>
      <c r="R206" s="441" t="e">
        <f>R169*R200</f>
        <v>#DIV/0!</v>
      </c>
      <c r="S206" s="253" t="str" cm="1">
        <f t="array" ref="S206">_xlfn.IFS(AND(I212=TRUE,R198="NEI"),$R$10,I212=TRUE,T206,TRUE,"")</f>
        <v/>
      </c>
      <c r="T206" s="433" t="str">
        <f>"➡️ "&amp;TEXT(F206,"# ##0")&amp;" kr  =   "&amp;F169&amp;" total arbeidstimer  x  "&amp;TEXT(F200,"#,##")&amp;" kroner per time"</f>
        <v>➡️  kr  =   0 total arbeidstimer  x   kroner per time</v>
      </c>
      <c r="U206" s="210" t="s">
        <v>87</v>
      </c>
    </row>
    <row r="207" spans="1:23" ht="16.5" thickTop="1" thickBot="1" x14ac:dyDescent="0.3">
      <c r="A207" s="121"/>
      <c r="B207" s="141"/>
      <c r="C207" s="163"/>
      <c r="D207" s="247"/>
      <c r="E207" s="382" t="s">
        <v>123</v>
      </c>
      <c r="F207" s="437" t="str">
        <f>IF(R198="nei","",R207)</f>
        <v/>
      </c>
      <c r="G207" s="438"/>
      <c r="H207" s="380"/>
      <c r="I207" s="425" t="str">
        <f t="shared" si="32"/>
        <v/>
      </c>
      <c r="J207" s="435"/>
      <c r="K207" s="439"/>
      <c r="L207" s="439"/>
      <c r="M207" s="381"/>
      <c r="N207" s="141"/>
      <c r="O207" s="121"/>
      <c r="P207" s="440"/>
      <c r="Q207" s="253" t="s">
        <v>123</v>
      </c>
      <c r="R207" s="412" t="e">
        <f>SUM(T187:T190)</f>
        <v>#DIV/0!</v>
      </c>
      <c r="S207" s="253" t="str" cm="1">
        <f t="array" ref="S207">_xlfn.IFS(AND(I212=TRUE,R198="NEI"),$R$10,I212=TRUE,T207,TRUE,"")</f>
        <v/>
      </c>
      <c r="T207" s="433" t="str">
        <f>"➡️ "&amp;TEXT(F207,"# ##0")&amp;" kr  =  arbeidstimer i helg / natt / kveld / helligdag x timetillegg"</f>
        <v>➡️  kr  =  arbeidstimer i helg / natt / kveld / helligdag x timetillegg</v>
      </c>
      <c r="U207" s="210" t="s">
        <v>87</v>
      </c>
    </row>
    <row r="208" spans="1:23" ht="16.5" thickTop="1" thickBot="1" x14ac:dyDescent="0.3">
      <c r="A208" s="121"/>
      <c r="B208" s="141"/>
      <c r="C208" s="163"/>
      <c r="D208" s="247"/>
      <c r="E208" s="382" t="s">
        <v>33</v>
      </c>
      <c r="F208" s="437" t="str">
        <f>IF(R198="nei","",R208)</f>
        <v/>
      </c>
      <c r="G208" s="438"/>
      <c r="H208" s="380"/>
      <c r="I208" s="425" t="str">
        <f t="shared" si="32"/>
        <v/>
      </c>
      <c r="J208" s="435"/>
      <c r="K208" s="435"/>
      <c r="L208" s="435"/>
      <c r="M208" s="381"/>
      <c r="N208" s="141"/>
      <c r="O208" s="121"/>
      <c r="P208" s="440"/>
      <c r="Q208" s="253" t="s">
        <v>33</v>
      </c>
      <c r="R208" s="412" t="e">
        <f>(R206+R207)*R194</f>
        <v>#DIV/0!</v>
      </c>
      <c r="S208" s="253" t="str" cm="1">
        <f t="array" ref="S208">_xlfn.IFS(AND(I212=TRUE,R198="NEI"),$R$10,I212=TRUE,T208,TRUE,"")</f>
        <v/>
      </c>
      <c r="T208" s="433" t="e">
        <f>"➡️ "&amp;TEXT(F208,"# ##0")&amp;" kr = "&amp;TEXT(F206+F207,"# ##0")&amp;" kr lønn &amp; tillegg  x  "&amp;TEXT(F194,"#,0 %")&amp;" feriepenger sats"</f>
        <v>#VALUE!</v>
      </c>
      <c r="U208" s="210" t="s">
        <v>87</v>
      </c>
    </row>
    <row r="209" spans="1:21" ht="16.5" thickTop="1" thickBot="1" x14ac:dyDescent="0.3">
      <c r="A209" s="121"/>
      <c r="B209" s="141"/>
      <c r="C209" s="163"/>
      <c r="D209" s="247"/>
      <c r="E209" s="382" t="s">
        <v>124</v>
      </c>
      <c r="F209" s="437" t="str">
        <f>IF(R198="nei","",R209)</f>
        <v/>
      </c>
      <c r="G209" s="438"/>
      <c r="H209" s="380"/>
      <c r="I209" s="425" t="str">
        <f t="shared" si="32"/>
        <v/>
      </c>
      <c r="J209" s="435"/>
      <c r="K209" s="435"/>
      <c r="L209" s="435"/>
      <c r="M209" s="381"/>
      <c r="N209" s="141"/>
      <c r="O209" s="121"/>
      <c r="P209" s="440"/>
      <c r="Q209" s="253" t="s">
        <v>124</v>
      </c>
      <c r="R209" s="412" t="e">
        <f>SUM(R206:R208)*R195</f>
        <v>#DIV/0!</v>
      </c>
      <c r="S209" s="253" t="str" cm="1">
        <f t="array" ref="S209">_xlfn.IFS(AND(I212=TRUE,R198="NEI"),$R$10,I212=TRUE,T209,TRUE,"")</f>
        <v/>
      </c>
      <c r="T209" s="433" t="e">
        <f>"➡️ "&amp;TEXT(F209,"# ##0")&amp;" kr  = ("&amp;TEXT(F206+F207,"# ##0")&amp;" kr lønn &amp; tillegg + "&amp;TEXT(F208,"# ##0")&amp;" kr feriepenger) x "&amp;TEXT(F195,"#,0 %")&amp;" pensjon"</f>
        <v>#VALUE!</v>
      </c>
      <c r="U209" s="210" t="s">
        <v>87</v>
      </c>
    </row>
    <row r="210" spans="1:21" ht="16.5" thickTop="1" thickBot="1" x14ac:dyDescent="0.3">
      <c r="A210" s="121"/>
      <c r="B210" s="141"/>
      <c r="C210" s="163"/>
      <c r="D210" s="247"/>
      <c r="E210" s="382" t="s">
        <v>22</v>
      </c>
      <c r="F210" s="437" t="str">
        <f>IF(R198="nei","",R210)</f>
        <v/>
      </c>
      <c r="G210" s="438"/>
      <c r="H210" s="380"/>
      <c r="I210" s="425" t="str">
        <f t="shared" si="32"/>
        <v/>
      </c>
      <c r="J210" s="435"/>
      <c r="K210" s="435"/>
      <c r="L210" s="435"/>
      <c r="M210" s="381"/>
      <c r="N210" s="141"/>
      <c r="O210" s="121"/>
      <c r="P210" s="440"/>
      <c r="Q210" s="253" t="s">
        <v>22</v>
      </c>
      <c r="R210" s="412" t="e">
        <f>SUM(R206:R209)*R197</f>
        <v>#DIV/0!</v>
      </c>
      <c r="S210" s="253" t="str" cm="1">
        <f t="array" ref="S210">_xlfn.IFS(AND(I212=TRUE,R198="NEI"),$R$10,I212=TRUE,T210,TRUE,"")</f>
        <v/>
      </c>
      <c r="T210" s="433" t="e">
        <f>"➡️ "&amp;TEXT(F210,"# ##0")&amp;" kr = ("&amp;TEXT(F206+F207,"# ##0")&amp;" kr lønn + "&amp;TEXT(F208,"# ##0")&amp;" kr f.p. + "&amp;TEXT(F209,"# ##0")&amp;" kr pensjon)  x  "&amp;TEXT(F197,"#,0 %")&amp;" aga "</f>
        <v>#VALUE!</v>
      </c>
      <c r="U210" s="210" t="s">
        <v>87</v>
      </c>
    </row>
    <row r="211" spans="1:21" ht="8.1" customHeight="1" thickTop="1" x14ac:dyDescent="0.25">
      <c r="A211" s="121"/>
      <c r="B211" s="141"/>
      <c r="C211" s="163"/>
      <c r="D211" s="256"/>
      <c r="E211" s="257"/>
      <c r="F211" s="288"/>
      <c r="G211" s="442"/>
      <c r="H211" s="443"/>
      <c r="J211" s="435"/>
      <c r="K211" s="435"/>
      <c r="L211" s="435"/>
      <c r="M211" s="381"/>
      <c r="N211" s="141"/>
      <c r="O211" s="121"/>
      <c r="Q211" s="402"/>
      <c r="R211" s="402"/>
      <c r="S211" s="402"/>
      <c r="T211" s="402"/>
      <c r="U211" s="210" t="s">
        <v>87</v>
      </c>
    </row>
    <row r="212" spans="1:21" ht="18.75" x14ac:dyDescent="0.3">
      <c r="A212" s="121"/>
      <c r="B212" s="158"/>
      <c r="C212" s="445"/>
      <c r="D212" s="446"/>
      <c r="E212" s="447" t="s">
        <v>125</v>
      </c>
      <c r="F212" s="285" t="str">
        <f>IF(R198="nei","",R212)</f>
        <v/>
      </c>
      <c r="G212" s="448"/>
      <c r="H212" s="449"/>
      <c r="I212" s="56" t="b">
        <v>0</v>
      </c>
      <c r="J212" s="450" t="s">
        <v>126</v>
      </c>
      <c r="M212" s="371"/>
      <c r="N212" s="158"/>
      <c r="O212" s="121"/>
      <c r="P212" s="575" t="str">
        <f>P160&amp;"c"</f>
        <v>3c</v>
      </c>
      <c r="Q212" s="253" t="s">
        <v>125</v>
      </c>
      <c r="R212" s="412" t="e">
        <f>SUM(R206:R210)</f>
        <v>#DIV/0!</v>
      </c>
      <c r="S212" s="253"/>
      <c r="T212" s="379" t="s">
        <v>87</v>
      </c>
      <c r="U212" s="210" t="s">
        <v>87</v>
      </c>
    </row>
    <row r="213" spans="1:21" ht="8.1" customHeight="1" x14ac:dyDescent="0.25">
      <c r="A213" s="121"/>
      <c r="B213" s="141"/>
      <c r="C213" s="163"/>
      <c r="D213" s="256"/>
      <c r="E213" s="257"/>
      <c r="F213" s="288"/>
      <c r="G213" s="442"/>
      <c r="H213" s="443"/>
      <c r="J213" s="435"/>
      <c r="K213" s="435"/>
      <c r="L213" s="435"/>
      <c r="M213" s="381"/>
      <c r="N213" s="141"/>
      <c r="O213" s="121"/>
      <c r="Q213" s="402"/>
      <c r="R213" s="402"/>
      <c r="S213" s="402"/>
      <c r="T213" s="402"/>
      <c r="U213" s="210" t="s">
        <v>87</v>
      </c>
    </row>
    <row r="214" spans="1:21" ht="8.1" customHeight="1" x14ac:dyDescent="0.25">
      <c r="A214" s="121"/>
      <c r="B214" s="141"/>
      <c r="C214" s="163"/>
      <c r="D214" s="164"/>
      <c r="E214" s="208"/>
      <c r="F214" s="236"/>
      <c r="G214" s="438"/>
      <c r="H214" s="451"/>
      <c r="J214" s="435"/>
      <c r="K214" s="435"/>
      <c r="L214" s="435"/>
      <c r="M214" s="381"/>
      <c r="N214" s="141"/>
      <c r="O214" s="121"/>
      <c r="Q214" s="402"/>
      <c r="R214" s="402"/>
      <c r="S214" s="402"/>
      <c r="T214" s="402"/>
      <c r="U214" s="210" t="s">
        <v>87</v>
      </c>
    </row>
    <row r="215" spans="1:21" x14ac:dyDescent="0.25">
      <c r="A215" s="121"/>
      <c r="B215" s="141"/>
      <c r="C215" s="163"/>
      <c r="D215" s="452"/>
      <c r="E215" s="81" t="str">
        <f>IF(E216="","Skriv kommentar:","")</f>
        <v>Skriv kommentar:</v>
      </c>
      <c r="F215" s="81"/>
      <c r="G215" s="81"/>
      <c r="H215" s="82"/>
      <c r="J215" s="744" t="str">
        <f>IF(S215&amp;S216="","","⚠️Vi trenger mer informasjon")</f>
        <v/>
      </c>
      <c r="K215" s="745"/>
      <c r="L215" s="746"/>
      <c r="M215" s="381"/>
      <c r="N215" s="141"/>
      <c r="O215" s="121"/>
      <c r="Q215" s="253" t="s">
        <v>127</v>
      </c>
      <c r="R215" s="379"/>
      <c r="S215" s="453" t="str">
        <f>IFERROR(IF(S186=$R$9,IF(R195&gt;$R$6,"1. ","")&amp;$S$5,""),"")</f>
        <v/>
      </c>
      <c r="T215" s="379" t="s">
        <v>87</v>
      </c>
      <c r="U215" s="210" t="s">
        <v>87</v>
      </c>
    </row>
    <row r="216" spans="1:21" ht="15" customHeight="1" x14ac:dyDescent="0.25">
      <c r="A216" s="121"/>
      <c r="B216" s="141"/>
      <c r="C216" s="163"/>
      <c r="D216" s="454"/>
      <c r="E216" s="753"/>
      <c r="F216" s="753"/>
      <c r="G216" s="753"/>
      <c r="H216" s="455"/>
      <c r="J216" s="747" t="str">
        <f>_xlfn.TEXTJOIN(CHAR(10)&amp;CHAR(10),TRUE,S215,S216)</f>
        <v/>
      </c>
      <c r="K216" s="748"/>
      <c r="L216" s="749"/>
      <c r="M216" s="381"/>
      <c r="N216" s="141"/>
      <c r="O216" s="121"/>
      <c r="Q216" s="253" t="s">
        <v>280</v>
      </c>
      <c r="R216" s="379"/>
      <c r="S216" s="453" t="str">
        <f>IF(S196=$R$9,IF(S215="","","2. ")&amp;$S$6,"")</f>
        <v/>
      </c>
      <c r="T216" s="253" t="s">
        <v>87</v>
      </c>
      <c r="U216" s="210" t="s">
        <v>87</v>
      </c>
    </row>
    <row r="217" spans="1:21" x14ac:dyDescent="0.25">
      <c r="A217" s="121"/>
      <c r="B217" s="141"/>
      <c r="C217" s="163"/>
      <c r="D217" s="454"/>
      <c r="E217" s="753"/>
      <c r="F217" s="753"/>
      <c r="G217" s="753"/>
      <c r="H217" s="455"/>
      <c r="J217" s="747"/>
      <c r="K217" s="748"/>
      <c r="L217" s="749"/>
      <c r="M217" s="381"/>
      <c r="N217" s="141"/>
      <c r="O217" s="121"/>
      <c r="Q217" s="185"/>
      <c r="R217" s="611"/>
      <c r="S217" s="612"/>
      <c r="T217" s="185"/>
    </row>
    <row r="218" spans="1:21" x14ac:dyDescent="0.25">
      <c r="A218" s="121"/>
      <c r="B218" s="141"/>
      <c r="C218" s="163"/>
      <c r="D218" s="454"/>
      <c r="E218" s="753"/>
      <c r="F218" s="753"/>
      <c r="G218" s="753"/>
      <c r="H218" s="455"/>
      <c r="J218" s="747"/>
      <c r="K218" s="748"/>
      <c r="L218" s="749"/>
      <c r="M218" s="381"/>
      <c r="N218" s="141"/>
      <c r="O218" s="121"/>
    </row>
    <row r="219" spans="1:21" x14ac:dyDescent="0.25">
      <c r="A219" s="121"/>
      <c r="B219" s="141"/>
      <c r="C219" s="163"/>
      <c r="D219" s="454"/>
      <c r="E219" s="753"/>
      <c r="F219" s="753"/>
      <c r="G219" s="753"/>
      <c r="H219" s="455"/>
      <c r="J219" s="747"/>
      <c r="K219" s="748"/>
      <c r="L219" s="749"/>
      <c r="M219" s="381"/>
      <c r="N219" s="141"/>
      <c r="O219" s="121"/>
      <c r="Q219" s="315"/>
      <c r="R219" s="456"/>
    </row>
    <row r="220" spans="1:21" x14ac:dyDescent="0.25">
      <c r="A220" s="121"/>
      <c r="B220" s="141"/>
      <c r="C220" s="163"/>
      <c r="D220" s="454"/>
      <c r="E220" s="753"/>
      <c r="F220" s="753"/>
      <c r="G220" s="753"/>
      <c r="H220" s="455"/>
      <c r="J220" s="747"/>
      <c r="K220" s="748"/>
      <c r="L220" s="749"/>
      <c r="M220" s="381"/>
      <c r="N220" s="141"/>
      <c r="O220" s="121"/>
      <c r="R220" s="457"/>
    </row>
    <row r="221" spans="1:21" x14ac:dyDescent="0.25">
      <c r="A221" s="121"/>
      <c r="B221" s="141"/>
      <c r="C221" s="163"/>
      <c r="D221" s="458"/>
      <c r="E221" s="754"/>
      <c r="F221" s="754"/>
      <c r="G221" s="754"/>
      <c r="H221" s="459"/>
      <c r="J221" s="750"/>
      <c r="K221" s="751"/>
      <c r="L221" s="752"/>
      <c r="M221" s="381"/>
      <c r="N221" s="141"/>
      <c r="O221" s="121"/>
    </row>
    <row r="222" spans="1:21" ht="8.1" customHeight="1" x14ac:dyDescent="0.25">
      <c r="A222" s="121"/>
      <c r="B222" s="141"/>
      <c r="C222" s="163"/>
      <c r="D222" s="460"/>
      <c r="E222" s="461"/>
      <c r="F222" s="461"/>
      <c r="G222" s="461"/>
      <c r="H222" s="460"/>
      <c r="J222" s="462"/>
      <c r="K222" s="462"/>
      <c r="L222" s="462"/>
      <c r="M222" s="381"/>
      <c r="N222" s="141"/>
      <c r="O222" s="121"/>
    </row>
    <row r="223" spans="1:21" x14ac:dyDescent="0.25">
      <c r="A223" s="121"/>
      <c r="B223" s="141"/>
      <c r="C223" s="163"/>
      <c r="D223" s="574"/>
      <c r="E223" s="574"/>
      <c r="F223" s="574"/>
      <c r="G223" s="574"/>
      <c r="H223" s="574"/>
      <c r="J223" s="462"/>
      <c r="K223" s="462"/>
      <c r="L223" s="462"/>
      <c r="M223" s="381"/>
      <c r="N223" s="141"/>
      <c r="O223" s="121"/>
    </row>
    <row r="224" spans="1:21" x14ac:dyDescent="0.25">
      <c r="A224" s="121"/>
      <c r="B224" s="141"/>
      <c r="C224" s="163"/>
      <c r="D224" s="740" t="s">
        <v>287</v>
      </c>
      <c r="E224" s="741"/>
      <c r="F224" s="741"/>
      <c r="G224" s="741"/>
      <c r="H224" s="741"/>
      <c r="I224" s="737" t="s">
        <v>288</v>
      </c>
      <c r="J224" s="737"/>
      <c r="K224" s="617" t="s">
        <v>289</v>
      </c>
      <c r="L224" s="618"/>
      <c r="M224" s="381"/>
      <c r="N224" s="141"/>
      <c r="O224" s="121"/>
    </row>
    <row r="225" spans="1:23" ht="38.25" customHeight="1" x14ac:dyDescent="0.25">
      <c r="A225" s="121"/>
      <c r="B225" s="141"/>
      <c r="C225" s="163"/>
      <c r="D225" s="619"/>
      <c r="E225" s="742"/>
      <c r="F225" s="742"/>
      <c r="G225" s="742"/>
      <c r="H225" s="743"/>
      <c r="I225" s="738"/>
      <c r="J225" s="739"/>
      <c r="K225" s="718"/>
      <c r="L225" s="620"/>
      <c r="M225" s="381"/>
      <c r="N225" s="141"/>
      <c r="O225" s="121"/>
    </row>
    <row r="226" spans="1:23" x14ac:dyDescent="0.25">
      <c r="A226" s="121"/>
      <c r="B226" s="141"/>
      <c r="C226" s="163"/>
      <c r="D226" s="574"/>
      <c r="E226" s="574"/>
      <c r="F226" s="574"/>
      <c r="G226" s="574"/>
      <c r="H226" s="574"/>
      <c r="J226" s="462"/>
      <c r="K226" s="462"/>
      <c r="L226" s="462"/>
      <c r="M226" s="381"/>
      <c r="N226" s="141"/>
      <c r="O226" s="121"/>
    </row>
    <row r="227" spans="1:23" ht="15" customHeight="1" x14ac:dyDescent="0.25">
      <c r="A227" s="121"/>
      <c r="B227" s="141"/>
      <c r="C227" s="141"/>
      <c r="D227" s="141"/>
      <c r="E227" s="141"/>
      <c r="F227" s="318"/>
      <c r="G227" s="319"/>
      <c r="H227" s="198"/>
      <c r="I227" s="320"/>
      <c r="J227" s="141"/>
      <c r="K227" s="141"/>
      <c r="L227" s="141"/>
      <c r="M227" s="141"/>
      <c r="N227" s="141"/>
      <c r="O227" s="121"/>
    </row>
    <row r="228" spans="1:23" ht="6" customHeight="1" x14ac:dyDescent="0.25">
      <c r="A228" s="121"/>
      <c r="B228" s="121"/>
      <c r="C228" s="121"/>
      <c r="D228" s="121"/>
      <c r="E228" s="121"/>
      <c r="F228" s="122"/>
      <c r="G228" s="121"/>
      <c r="H228" s="121"/>
      <c r="I228" s="336"/>
      <c r="J228" s="121"/>
      <c r="K228" s="121"/>
      <c r="L228" s="121"/>
      <c r="M228" s="121"/>
      <c r="N228" s="121"/>
      <c r="O228" s="121"/>
    </row>
    <row r="229" spans="1:23" ht="15" customHeight="1" x14ac:dyDescent="0.25">
      <c r="A229" s="121"/>
      <c r="B229" s="141"/>
      <c r="C229" s="141"/>
      <c r="D229" s="141"/>
      <c r="E229" s="141"/>
      <c r="F229" s="318"/>
      <c r="G229" s="319"/>
      <c r="H229" s="198"/>
      <c r="I229" s="320"/>
      <c r="J229" s="141"/>
      <c r="K229" s="141"/>
      <c r="L229" s="141"/>
      <c r="M229" s="141"/>
      <c r="N229" s="141"/>
      <c r="O229" s="121"/>
    </row>
    <row r="230" spans="1:23" x14ac:dyDescent="0.25">
      <c r="A230" s="121"/>
      <c r="B230" s="141"/>
      <c r="C230" s="292"/>
      <c r="D230" s="293"/>
      <c r="E230" s="293"/>
      <c r="F230" s="337"/>
      <c r="G230" s="338"/>
      <c r="H230" s="295"/>
      <c r="I230" s="339"/>
      <c r="J230" s="293"/>
      <c r="K230" s="293"/>
      <c r="L230" s="293"/>
      <c r="M230" s="162"/>
      <c r="N230" s="141"/>
      <c r="O230" s="121"/>
      <c r="Q230" s="340" t="s">
        <v>81</v>
      </c>
      <c r="R230" s="341"/>
      <c r="S230" s="341"/>
      <c r="T230" s="342" t="s">
        <v>82</v>
      </c>
    </row>
    <row r="231" spans="1:23" ht="21" x14ac:dyDescent="0.25">
      <c r="A231" s="343"/>
      <c r="B231" s="344"/>
      <c r="C231" s="345"/>
      <c r="D231" s="346"/>
      <c r="E231" s="347" t="str">
        <f>"Beregning "&amp;P231</f>
        <v>Beregning 4</v>
      </c>
      <c r="F231" s="348"/>
      <c r="G231" s="346"/>
      <c r="H231" s="349"/>
      <c r="I231" s="350"/>
      <c r="J231" s="346"/>
      <c r="K231" s="346"/>
      <c r="L231" s="346"/>
      <c r="M231" s="351"/>
      <c r="N231" s="344"/>
      <c r="O231" s="343"/>
      <c r="P231" s="352">
        <f>COUNTIF($D$16:D232,"tiltaket")</f>
        <v>4</v>
      </c>
      <c r="Q231" s="353" t="s">
        <v>83</v>
      </c>
      <c r="R231" s="353" t="s">
        <v>84</v>
      </c>
      <c r="S231" s="353" t="s">
        <v>85</v>
      </c>
      <c r="T231" s="353" t="s">
        <v>86</v>
      </c>
      <c r="U231" s="210" t="s">
        <v>87</v>
      </c>
      <c r="V231" s="354"/>
      <c r="W231" s="352"/>
    </row>
    <row r="232" spans="1:23" ht="30" customHeight="1" x14ac:dyDescent="0.35">
      <c r="A232" s="355"/>
      <c r="B232" s="356"/>
      <c r="C232" s="357"/>
      <c r="D232" s="358" t="s">
        <v>88</v>
      </c>
      <c r="E232" s="359"/>
      <c r="F232" s="360"/>
      <c r="G232" s="359"/>
      <c r="H232" s="361"/>
      <c r="I232" s="362"/>
      <c r="J232" s="403"/>
      <c r="K232" s="363"/>
      <c r="L232" s="363"/>
      <c r="M232" s="364"/>
      <c r="N232" s="356"/>
      <c r="O232" s="355"/>
      <c r="P232" s="363"/>
      <c r="Q232" s="365"/>
      <c r="R232" s="365"/>
      <c r="S232" s="365"/>
      <c r="T232" s="365"/>
      <c r="U232" s="210" t="s">
        <v>87</v>
      </c>
      <c r="W232" s="363"/>
    </row>
    <row r="233" spans="1:23" ht="8.1" customHeight="1" x14ac:dyDescent="0.25">
      <c r="A233" s="121"/>
      <c r="B233" s="158"/>
      <c r="C233" s="366"/>
      <c r="D233" s="367"/>
      <c r="E233" s="219"/>
      <c r="F233" s="368"/>
      <c r="G233" s="219"/>
      <c r="H233" s="369"/>
      <c r="I233" s="576"/>
      <c r="J233" s="576"/>
      <c r="K233" s="219"/>
      <c r="L233" s="219"/>
      <c r="M233" s="371"/>
      <c r="N233" s="158"/>
      <c r="O233" s="121"/>
      <c r="P233" s="219"/>
      <c r="Q233" s="372"/>
      <c r="R233" s="372"/>
      <c r="S233" s="372"/>
      <c r="T233" s="372"/>
      <c r="U233" s="210" t="s">
        <v>87</v>
      </c>
      <c r="V233" s="354"/>
      <c r="W233" s="219"/>
    </row>
    <row r="234" spans="1:23" ht="15.75" thickBot="1" x14ac:dyDescent="0.3">
      <c r="A234" s="121"/>
      <c r="B234" s="141"/>
      <c r="C234" s="163"/>
      <c r="D234" s="247"/>
      <c r="E234" s="373" t="s">
        <v>89</v>
      </c>
      <c r="F234" s="665"/>
      <c r="G234" s="374" t="s">
        <v>90</v>
      </c>
      <c r="H234" s="375"/>
      <c r="I234" s="237" t="str">
        <f>S234</f>
        <v xml:space="preserve">*obligatorisk </v>
      </c>
      <c r="J234" s="577"/>
      <c r="K234" s="376"/>
      <c r="L234" s="376"/>
      <c r="M234" s="377"/>
      <c r="N234" s="158"/>
      <c r="O234" s="121"/>
      <c r="P234" s="575" t="str">
        <f>P231&amp;"a"</f>
        <v>4a</v>
      </c>
      <c r="Q234" s="253" t="str">
        <f>D232</f>
        <v>Tiltaket</v>
      </c>
      <c r="R234" s="378">
        <f>F234</f>
        <v>0</v>
      </c>
      <c r="S234" s="253" t="str" cm="1">
        <f t="array" ref="S234">_xlfn.IFS(F234="",$R$7,TRUE,"")</f>
        <v xml:space="preserve">*obligatorisk </v>
      </c>
      <c r="T234" s="379" t="s">
        <v>87</v>
      </c>
      <c r="U234" s="210" t="s">
        <v>87</v>
      </c>
    </row>
    <row r="235" spans="1:23" ht="15.75" thickTop="1" x14ac:dyDescent="0.25">
      <c r="A235" s="121"/>
      <c r="B235" s="141"/>
      <c r="C235" s="163"/>
      <c r="D235" s="247"/>
      <c r="E235" s="464" t="s">
        <v>91</v>
      </c>
      <c r="F235" s="651"/>
      <c r="G235" s="374" t="s">
        <v>90</v>
      </c>
      <c r="H235" s="380"/>
      <c r="I235" s="237" t="str">
        <f>S235</f>
        <v/>
      </c>
      <c r="J235" s="362"/>
      <c r="M235" s="381"/>
      <c r="N235" s="141"/>
      <c r="O235" s="121"/>
      <c r="Q235" s="253" t="str">
        <f>E235</f>
        <v xml:space="preserve">hvis tolk: hvilket tiltak er tolken brukt i? </v>
      </c>
      <c r="R235" s="378">
        <f>F235</f>
        <v>0</v>
      </c>
      <c r="S235" s="253" t="str" cm="1">
        <f t="array" ref="S235">_xlfn.IFS(AND(IFERROR(SEARCH("tolk",F234),0)&gt;0,F235=""),$R$7,TRUE,"")</f>
        <v/>
      </c>
      <c r="T235" s="379" t="s">
        <v>87</v>
      </c>
      <c r="U235" s="210" t="s">
        <v>87</v>
      </c>
    </row>
    <row r="236" spans="1:23" ht="8.1" customHeight="1" x14ac:dyDescent="0.25">
      <c r="A236" s="121"/>
      <c r="B236" s="141"/>
      <c r="C236" s="163"/>
      <c r="D236" s="247"/>
      <c r="E236" s="382"/>
      <c r="F236" s="382"/>
      <c r="G236" s="374"/>
      <c r="H236" s="375"/>
      <c r="I236" s="383"/>
      <c r="J236" s="577"/>
      <c r="K236" s="376"/>
      <c r="L236" s="376"/>
      <c r="M236" s="377"/>
      <c r="N236" s="158"/>
      <c r="O236" s="121"/>
      <c r="P236" s="219"/>
      <c r="Q236" s="353"/>
      <c r="R236" s="353"/>
      <c r="S236" s="353"/>
      <c r="T236" s="353"/>
      <c r="U236" s="210" t="s">
        <v>87</v>
      </c>
    </row>
    <row r="237" spans="1:23" x14ac:dyDescent="0.25">
      <c r="A237" s="121"/>
      <c r="B237" s="141"/>
      <c r="C237" s="163"/>
      <c r="D237" s="247"/>
      <c r="E237" s="384" t="s">
        <v>92</v>
      </c>
      <c r="F237" s="167"/>
      <c r="G237" s="385"/>
      <c r="H237" s="380"/>
      <c r="I237" s="386"/>
      <c r="J237" s="362"/>
      <c r="K237" s="362"/>
      <c r="L237" s="362"/>
      <c r="M237" s="381"/>
      <c r="N237" s="141"/>
      <c r="O237" s="121"/>
      <c r="Q237" s="372"/>
      <c r="R237" s="372"/>
      <c r="S237" s="372"/>
      <c r="T237" s="372"/>
      <c r="U237" s="210" t="s">
        <v>87</v>
      </c>
    </row>
    <row r="238" spans="1:23" ht="15.75" thickBot="1" x14ac:dyDescent="0.3">
      <c r="A238" s="121"/>
      <c r="B238" s="141"/>
      <c r="C238" s="163"/>
      <c r="D238" s="247"/>
      <c r="E238" s="387" t="s">
        <v>93</v>
      </c>
      <c r="F238" s="662"/>
      <c r="G238" s="374" t="s">
        <v>90</v>
      </c>
      <c r="H238" s="380"/>
      <c r="I238" s="237" t="str">
        <f>S238</f>
        <v xml:space="preserve">*obligatorisk </v>
      </c>
      <c r="J238" s="362"/>
      <c r="K238" s="388"/>
      <c r="L238" s="388"/>
      <c r="M238" s="381"/>
      <c r="N238" s="141"/>
      <c r="O238" s="121"/>
      <c r="Q238" s="253" t="str">
        <f>E238</f>
        <v xml:space="preserve">arbeidstimer per uke </v>
      </c>
      <c r="R238" s="389">
        <f>F238</f>
        <v>0</v>
      </c>
      <c r="S238" s="253" t="str" cm="1">
        <f t="array" ref="S238">_xlfn.IFS(F238="",$R$7,TRUE,"")</f>
        <v xml:space="preserve">*obligatorisk </v>
      </c>
      <c r="T238" s="379" t="s">
        <v>87</v>
      </c>
      <c r="U238" s="210" t="s">
        <v>87</v>
      </c>
    </row>
    <row r="239" spans="1:23" ht="15.75" thickTop="1" x14ac:dyDescent="0.25">
      <c r="A239" s="121"/>
      <c r="B239" s="141"/>
      <c r="C239" s="163"/>
      <c r="D239" s="247"/>
      <c r="E239" s="387" t="s">
        <v>94</v>
      </c>
      <c r="F239" s="663"/>
      <c r="G239" s="374" t="s">
        <v>90</v>
      </c>
      <c r="H239" s="380"/>
      <c r="I239" s="237" t="str">
        <f>S239</f>
        <v xml:space="preserve">*obligatorisk </v>
      </c>
      <c r="J239" s="362"/>
      <c r="K239" s="388"/>
      <c r="L239" s="388"/>
      <c r="M239" s="381"/>
      <c r="N239" s="141"/>
      <c r="O239" s="121"/>
      <c r="Q239" s="253" t="str">
        <f>E239</f>
        <v xml:space="preserve">arbeidsuker i tilskuddperioden </v>
      </c>
      <c r="R239" s="389">
        <f>F239</f>
        <v>0</v>
      </c>
      <c r="S239" s="253" t="str" cm="1">
        <f t="array" ref="S239">_xlfn.IFS(F239="",$R$7,TRUE,"")</f>
        <v xml:space="preserve">*obligatorisk </v>
      </c>
      <c r="T239" s="379" t="s">
        <v>87</v>
      </c>
      <c r="U239" s="210" t="s">
        <v>87</v>
      </c>
    </row>
    <row r="240" spans="1:23" ht="15.75" thickBot="1" x14ac:dyDescent="0.3">
      <c r="A240" s="121"/>
      <c r="B240" s="141"/>
      <c r="C240" s="163"/>
      <c r="D240" s="247"/>
      <c r="E240" s="387" t="s">
        <v>95</v>
      </c>
      <c r="F240" s="664">
        <f>R240</f>
        <v>0</v>
      </c>
      <c r="G240" s="185"/>
      <c r="H240" s="380"/>
      <c r="I240" s="237"/>
      <c r="J240" s="362"/>
      <c r="K240" s="362"/>
      <c r="L240" s="362"/>
      <c r="M240" s="381"/>
      <c r="N240" s="141"/>
      <c r="O240" s="121"/>
      <c r="Q240" s="253" t="str">
        <f>E240</f>
        <v xml:space="preserve">arbeidstimer totalt </v>
      </c>
      <c r="R240" s="389">
        <f>R238*R239</f>
        <v>0</v>
      </c>
      <c r="S240" s="253"/>
      <c r="T240" s="379" t="s">
        <v>87</v>
      </c>
      <c r="U240" s="210" t="s">
        <v>87</v>
      </c>
    </row>
    <row r="241" spans="1:23" ht="8.1" customHeight="1" thickTop="1" thickBot="1" x14ac:dyDescent="0.3">
      <c r="A241" s="121"/>
      <c r="B241" s="141"/>
      <c r="C241" s="163"/>
      <c r="D241" s="247"/>
      <c r="E241" s="249"/>
      <c r="F241" s="390"/>
      <c r="G241" s="185"/>
      <c r="H241" s="380"/>
      <c r="I241" s="237"/>
      <c r="J241" s="362"/>
      <c r="K241" s="362"/>
      <c r="L241" s="362"/>
      <c r="M241" s="381"/>
      <c r="N241" s="141"/>
      <c r="O241" s="121"/>
      <c r="Q241" s="391"/>
      <c r="R241" s="391"/>
      <c r="S241" s="391"/>
      <c r="T241" s="391"/>
      <c r="U241" s="210" t="s">
        <v>87</v>
      </c>
    </row>
    <row r="242" spans="1:23" ht="15.75" thickTop="1" x14ac:dyDescent="0.25">
      <c r="A242" s="121"/>
      <c r="B242" s="141"/>
      <c r="C242" s="163"/>
      <c r="D242" s="247"/>
      <c r="E242" s="384" t="str">
        <f>"Ubekvemstillegg for de "&amp;IF(F240=0,"timene:",F240&amp;" timene:")</f>
        <v>Ubekvemstillegg for de timene:</v>
      </c>
      <c r="F242" s="392"/>
      <c r="H242" s="380"/>
      <c r="I242" s="237"/>
      <c r="J242" s="362"/>
      <c r="K242" s="362"/>
      <c r="L242" s="362"/>
      <c r="M242" s="381"/>
      <c r="N242" s="141"/>
      <c r="O242" s="121"/>
      <c r="Q242" s="393" t="s">
        <v>96</v>
      </c>
      <c r="R242" s="394">
        <f>(R240-R243-R244)</f>
        <v>0</v>
      </c>
      <c r="S242" s="393"/>
      <c r="T242" s="395" t="e">
        <f>R242/R240</f>
        <v>#DIV/0!</v>
      </c>
      <c r="U242" s="210" t="s">
        <v>87</v>
      </c>
    </row>
    <row r="243" spans="1:23" ht="15.75" thickBot="1" x14ac:dyDescent="0.3">
      <c r="A243" s="121"/>
      <c r="B243" s="141"/>
      <c r="C243" s="163"/>
      <c r="D243" s="247"/>
      <c r="E243" s="396" t="s">
        <v>97</v>
      </c>
      <c r="F243" s="657">
        <v>0</v>
      </c>
      <c r="G243" s="374" t="s">
        <v>90</v>
      </c>
      <c r="H243" s="380"/>
      <c r="I243" s="237"/>
      <c r="J243" s="362"/>
      <c r="K243" s="362"/>
      <c r="L243" s="362"/>
      <c r="M243" s="381"/>
      <c r="N243" s="141"/>
      <c r="O243" s="121"/>
      <c r="Q243" s="253" t="str">
        <f>E243</f>
        <v>arbeidstimer kveld</v>
      </c>
      <c r="R243" s="389">
        <f>F243</f>
        <v>0</v>
      </c>
      <c r="S243" s="253"/>
      <c r="T243" s="397" t="e">
        <f>R243/R240</f>
        <v>#DIV/0!</v>
      </c>
      <c r="U243" s="210" t="s">
        <v>87</v>
      </c>
    </row>
    <row r="244" spans="1:23" ht="16.5" thickTop="1" thickBot="1" x14ac:dyDescent="0.3">
      <c r="A244" s="121"/>
      <c r="B244" s="141"/>
      <c r="C244" s="163"/>
      <c r="D244" s="247"/>
      <c r="E244" s="396" t="s">
        <v>98</v>
      </c>
      <c r="F244" s="658">
        <v>0</v>
      </c>
      <c r="G244" s="374" t="s">
        <v>90</v>
      </c>
      <c r="H244" s="380"/>
      <c r="I244" s="237"/>
      <c r="J244" s="362"/>
      <c r="K244" s="362"/>
      <c r="L244" s="362"/>
      <c r="M244" s="381"/>
      <c r="N244" s="141"/>
      <c r="O244" s="121"/>
      <c r="Q244" s="253" t="str">
        <f t="shared" ref="Q244" si="33">E244</f>
        <v>arbeidstimer natt</v>
      </c>
      <c r="R244" s="389">
        <f t="shared" ref="R244" si="34">F244</f>
        <v>0</v>
      </c>
      <c r="S244" s="253"/>
      <c r="T244" s="397" t="e">
        <f>R244/R240</f>
        <v>#DIV/0!</v>
      </c>
      <c r="U244" s="210" t="s">
        <v>87</v>
      </c>
    </row>
    <row r="245" spans="1:23" ht="8.1" customHeight="1" thickTop="1" x14ac:dyDescent="0.25">
      <c r="A245" s="121"/>
      <c r="B245" s="141"/>
      <c r="C245" s="163"/>
      <c r="D245" s="247"/>
      <c r="E245" s="249"/>
      <c r="F245" s="659"/>
      <c r="G245" s="185"/>
      <c r="H245" s="380"/>
      <c r="I245" s="237"/>
      <c r="J245" s="362"/>
      <c r="K245" s="362"/>
      <c r="L245" s="362"/>
      <c r="M245" s="381"/>
      <c r="N245" s="141"/>
      <c r="O245" s="121"/>
      <c r="Q245" s="391"/>
      <c r="R245" s="391"/>
      <c r="S245" s="391"/>
      <c r="T245" s="391"/>
      <c r="U245" s="210" t="s">
        <v>87</v>
      </c>
    </row>
    <row r="246" spans="1:23" ht="15.75" thickBot="1" x14ac:dyDescent="0.3">
      <c r="A246" s="121"/>
      <c r="B246" s="141"/>
      <c r="C246" s="163"/>
      <c r="D246" s="247"/>
      <c r="E246" s="396" t="s">
        <v>99</v>
      </c>
      <c r="F246" s="660">
        <v>0</v>
      </c>
      <c r="G246" s="374" t="s">
        <v>90</v>
      </c>
      <c r="H246" s="380"/>
      <c r="I246" s="237"/>
      <c r="J246" s="362"/>
      <c r="K246" s="362"/>
      <c r="L246" s="362"/>
      <c r="M246" s="381"/>
      <c r="N246" s="141"/>
      <c r="O246" s="121"/>
      <c r="Q246" s="393" t="str">
        <f t="shared" ref="Q246:Q248" si="35">E246</f>
        <v>arbeidstimer helg</v>
      </c>
      <c r="R246" s="394">
        <f t="shared" ref="R246:R248" si="36">F246</f>
        <v>0</v>
      </c>
      <c r="S246" s="393"/>
      <c r="T246" s="379" t="s">
        <v>87</v>
      </c>
      <c r="U246" s="210" t="s">
        <v>87</v>
      </c>
    </row>
    <row r="247" spans="1:23" ht="16.5" thickTop="1" thickBot="1" x14ac:dyDescent="0.3">
      <c r="A247" s="121"/>
      <c r="B247" s="141"/>
      <c r="C247" s="163"/>
      <c r="D247" s="247"/>
      <c r="E247" s="396" t="s">
        <v>100</v>
      </c>
      <c r="F247" s="661">
        <v>0</v>
      </c>
      <c r="G247" s="374" t="s">
        <v>90</v>
      </c>
      <c r="H247" s="380"/>
      <c r="I247" s="237"/>
      <c r="J247" s="362"/>
      <c r="K247" s="362"/>
      <c r="L247" s="362"/>
      <c r="M247" s="381"/>
      <c r="N247" s="141"/>
      <c r="O247" s="121"/>
      <c r="Q247" s="253" t="str">
        <f t="shared" si="35"/>
        <v>arbeidstimer helligdag</v>
      </c>
      <c r="R247" s="389">
        <f t="shared" si="36"/>
        <v>0</v>
      </c>
      <c r="S247" s="253"/>
      <c r="T247" s="379" t="s">
        <v>87</v>
      </c>
      <c r="U247" s="210" t="s">
        <v>87</v>
      </c>
    </row>
    <row r="248" spans="1:23" ht="15.75" thickTop="1" x14ac:dyDescent="0.25">
      <c r="A248" s="121"/>
      <c r="B248" s="141"/>
      <c r="C248" s="163"/>
      <c r="D248" s="247"/>
      <c r="E248" s="396" t="s">
        <v>101</v>
      </c>
      <c r="F248" s="661">
        <v>0</v>
      </c>
      <c r="G248" s="374" t="s">
        <v>90</v>
      </c>
      <c r="H248" s="380"/>
      <c r="I248" s="237"/>
      <c r="J248" s="362"/>
      <c r="K248" s="362"/>
      <c r="L248" s="362"/>
      <c r="M248" s="381"/>
      <c r="N248" s="141"/>
      <c r="O248" s="121"/>
      <c r="Q248" s="253" t="str">
        <f t="shared" si="35"/>
        <v>arbeidstimer helligdag helg</v>
      </c>
      <c r="R248" s="389">
        <f t="shared" si="36"/>
        <v>0</v>
      </c>
      <c r="S248" s="253"/>
      <c r="T248" s="379" t="s">
        <v>87</v>
      </c>
      <c r="U248" s="210" t="s">
        <v>87</v>
      </c>
    </row>
    <row r="249" spans="1:23" x14ac:dyDescent="0.25">
      <c r="A249" s="121"/>
      <c r="B249" s="141"/>
      <c r="C249" s="163"/>
      <c r="D249" s="256"/>
      <c r="E249" s="398"/>
      <c r="F249" s="398"/>
      <c r="G249" s="399"/>
      <c r="H249" s="400"/>
      <c r="I249" s="237"/>
      <c r="J249" s="362"/>
      <c r="K249" s="362"/>
      <c r="L249" s="362"/>
      <c r="M249" s="381"/>
      <c r="N249" s="141"/>
      <c r="O249" s="121"/>
      <c r="Q249" s="353"/>
      <c r="R249" s="353"/>
      <c r="S249" s="353"/>
      <c r="T249" s="353"/>
      <c r="U249" s="210" t="s">
        <v>87</v>
      </c>
    </row>
    <row r="250" spans="1:23" ht="8.1" customHeight="1" x14ac:dyDescent="0.25">
      <c r="A250" s="121"/>
      <c r="B250" s="141"/>
      <c r="C250" s="163"/>
      <c r="D250" s="164"/>
      <c r="E250" s="382"/>
      <c r="F250" s="382"/>
      <c r="G250" s="401"/>
      <c r="H250" s="382"/>
      <c r="I250" s="237"/>
      <c r="J250" s="362"/>
      <c r="K250" s="362"/>
      <c r="L250" s="362"/>
      <c r="M250" s="381"/>
      <c r="N250" s="141"/>
      <c r="O250" s="121"/>
      <c r="Q250" s="402"/>
      <c r="R250" s="402"/>
      <c r="S250" s="402"/>
      <c r="T250" s="402"/>
      <c r="U250" s="210" t="s">
        <v>87</v>
      </c>
    </row>
    <row r="251" spans="1:23" ht="30" customHeight="1" x14ac:dyDescent="0.35">
      <c r="A251" s="355"/>
      <c r="B251" s="356"/>
      <c r="C251" s="357"/>
      <c r="D251" s="358" t="s">
        <v>102</v>
      </c>
      <c r="E251" s="359"/>
      <c r="F251" s="360"/>
      <c r="G251" s="359"/>
      <c r="H251" s="361"/>
      <c r="I251" s="403"/>
      <c r="J251" s="403"/>
      <c r="K251" s="363"/>
      <c r="L251" s="363"/>
      <c r="M251" s="364"/>
      <c r="N251" s="356"/>
      <c r="O251" s="355"/>
      <c r="P251" s="363"/>
      <c r="Q251" s="365"/>
      <c r="R251" s="365"/>
      <c r="S251" s="365"/>
      <c r="T251" s="365"/>
      <c r="U251" s="210" t="s">
        <v>87</v>
      </c>
      <c r="W251" s="363"/>
    </row>
    <row r="252" spans="1:23" ht="8.1" customHeight="1" x14ac:dyDescent="0.25">
      <c r="A252" s="121"/>
      <c r="B252" s="158"/>
      <c r="C252" s="366"/>
      <c r="D252" s="404"/>
      <c r="E252" s="405"/>
      <c r="F252" s="368"/>
      <c r="G252" s="219"/>
      <c r="H252" s="369"/>
      <c r="I252" s="237"/>
      <c r="J252" s="576"/>
      <c r="K252" s="219"/>
      <c r="L252" s="219"/>
      <c r="M252" s="371"/>
      <c r="N252" s="158"/>
      <c r="O252" s="121"/>
      <c r="P252" s="219"/>
      <c r="Q252" s="402"/>
      <c r="R252" s="402"/>
      <c r="S252" s="402"/>
      <c r="T252" s="402"/>
      <c r="U252" s="210" t="s">
        <v>87</v>
      </c>
      <c r="V252" s="354"/>
      <c r="W252" s="219"/>
    </row>
    <row r="253" spans="1:23" ht="15.75" thickBot="1" x14ac:dyDescent="0.3">
      <c r="A253" s="121"/>
      <c r="B253" s="141"/>
      <c r="C253" s="163"/>
      <c r="D253" s="247"/>
      <c r="E253" s="373" t="s">
        <v>103</v>
      </c>
      <c r="F253" s="651"/>
      <c r="G253" s="374" t="s">
        <v>90</v>
      </c>
      <c r="H253" s="380"/>
      <c r="I253" s="237" t="str">
        <f t="shared" ref="I253:I254" si="37">S253</f>
        <v xml:space="preserve">*obligatorisk </v>
      </c>
      <c r="J253" s="362"/>
      <c r="K253" s="362"/>
      <c r="L253" s="362"/>
      <c r="M253" s="381"/>
      <c r="N253" s="141"/>
      <c r="O253" s="121"/>
      <c r="P253" s="575" t="str">
        <f>P231&amp;"b"</f>
        <v>4b</v>
      </c>
      <c r="Q253" s="253" t="s">
        <v>104</v>
      </c>
      <c r="R253" s="406"/>
      <c r="S253" s="253" t="str" cm="1">
        <f t="array" ref="S253">_xlfn.IFS(F253="",$R$7,TRUE,"")</f>
        <v xml:space="preserve">*obligatorisk </v>
      </c>
      <c r="T253" s="379" t="s">
        <v>87</v>
      </c>
      <c r="U253" s="210" t="s">
        <v>87</v>
      </c>
    </row>
    <row r="254" spans="1:23" ht="15.75" thickTop="1" x14ac:dyDescent="0.25">
      <c r="A254" s="121"/>
      <c r="B254" s="141"/>
      <c r="C254" s="163"/>
      <c r="D254" s="247"/>
      <c r="E254" s="373" t="s">
        <v>105</v>
      </c>
      <c r="F254" s="652" t="s">
        <v>129</v>
      </c>
      <c r="G254" s="374" t="s">
        <v>90</v>
      </c>
      <c r="H254" s="380"/>
      <c r="I254" s="237" t="str">
        <f t="shared" si="37"/>
        <v xml:space="preserve">*obligatorisk </v>
      </c>
      <c r="J254" s="407"/>
      <c r="K254" s="408"/>
      <c r="L254" s="408"/>
      <c r="M254" s="381"/>
      <c r="N254" s="141"/>
      <c r="O254" s="121"/>
      <c r="Q254" s="253" t="str">
        <f>E254</f>
        <v>alminnelig arbeidstid for full stilling</v>
      </c>
      <c r="R254" s="389">
        <f>_xlfn.XLOOKUP(F254,Innstillinger!$B$48:$B$53,Innstillinger!$C$48:$C$53,0,)</f>
        <v>0</v>
      </c>
      <c r="S254" s="253" t="str" cm="1">
        <f t="array" ref="S254">_xlfn.IFS(F254="",$R$7,F254=Innstillinger!$B$8,$R$7,TRUE,"")</f>
        <v xml:space="preserve">*obligatorisk </v>
      </c>
      <c r="T254" s="379" t="s">
        <v>87</v>
      </c>
      <c r="U254" s="210" t="s">
        <v>87</v>
      </c>
    </row>
    <row r="255" spans="1:23" ht="8.1" customHeight="1" x14ac:dyDescent="0.25">
      <c r="A255" s="121"/>
      <c r="B255" s="158"/>
      <c r="C255" s="366"/>
      <c r="D255" s="404"/>
      <c r="E255" s="405"/>
      <c r="F255" s="368"/>
      <c r="G255" s="219"/>
      <c r="H255" s="369"/>
      <c r="I255" s="237"/>
      <c r="J255" s="576"/>
      <c r="K255" s="219"/>
      <c r="L255" s="219"/>
      <c r="M255" s="371"/>
      <c r="N255" s="158"/>
      <c r="O255" s="121"/>
      <c r="P255" s="219"/>
      <c r="Q255" s="402"/>
      <c r="R255" s="402"/>
      <c r="S255" s="402"/>
      <c r="T255" s="402"/>
      <c r="U255" s="210" t="s">
        <v>87</v>
      </c>
      <c r="V255" s="354"/>
      <c r="W255" s="219"/>
    </row>
    <row r="256" spans="1:23" x14ac:dyDescent="0.25">
      <c r="A256" s="121"/>
      <c r="B256" s="141"/>
      <c r="C256" s="163"/>
      <c r="D256" s="247"/>
      <c r="E256" s="384" t="s">
        <v>107</v>
      </c>
      <c r="F256" s="409"/>
      <c r="G256" s="374"/>
      <c r="H256" s="380"/>
      <c r="I256" s="237"/>
      <c r="J256" s="362"/>
      <c r="K256" s="362"/>
      <c r="L256" s="362"/>
      <c r="M256" s="381"/>
      <c r="N256" s="141"/>
      <c r="O256" s="121"/>
      <c r="Q256" s="410"/>
      <c r="R256" s="411"/>
      <c r="S256" s="410"/>
      <c r="T256" s="410"/>
      <c r="U256" s="210" t="s">
        <v>87</v>
      </c>
    </row>
    <row r="257" spans="1:22" ht="15.75" thickBot="1" x14ac:dyDescent="0.3">
      <c r="A257" s="121"/>
      <c r="B257" s="141"/>
      <c r="C257" s="163"/>
      <c r="D257" s="247"/>
      <c r="E257" s="373" t="s">
        <v>108</v>
      </c>
      <c r="F257" s="653"/>
      <c r="G257" s="374" t="s">
        <v>90</v>
      </c>
      <c r="H257" s="380"/>
      <c r="I257" s="237" t="str">
        <f>S257</f>
        <v xml:space="preserve">*obligatorisk </v>
      </c>
      <c r="J257" s="362"/>
      <c r="K257" s="386"/>
      <c r="L257" s="386"/>
      <c r="M257" s="381"/>
      <c r="N257" s="141"/>
      <c r="O257" s="121"/>
      <c r="Q257" s="253" t="str">
        <f>E257</f>
        <v>årslønn for full stilling</v>
      </c>
      <c r="R257" s="412">
        <f>F257</f>
        <v>0</v>
      </c>
      <c r="S257" s="253" t="str" cm="1">
        <f t="array" ref="S257">_xlfn.IFS(R257=0,$R$7,ISERROR(R272)=TRUE,"",R272&gt;$R$5,$R$9,TRUE,"")</f>
        <v xml:space="preserve">*obligatorisk </v>
      </c>
      <c r="T257" s="379" t="s">
        <v>87</v>
      </c>
      <c r="U257" s="210" t="s">
        <v>87</v>
      </c>
    </row>
    <row r="258" spans="1:22" ht="16.5" thickTop="1" thickBot="1" x14ac:dyDescent="0.3">
      <c r="A258" s="121"/>
      <c r="B258" s="141"/>
      <c r="C258" s="163"/>
      <c r="D258" s="247"/>
      <c r="E258" s="413" t="s">
        <v>109</v>
      </c>
      <c r="F258" s="654">
        <v>0</v>
      </c>
      <c r="G258" s="374" t="s">
        <v>90</v>
      </c>
      <c r="H258" s="380"/>
      <c r="I258" s="237" t="str">
        <f t="shared" ref="I258" si="38">S258</f>
        <v/>
      </c>
      <c r="J258" s="362"/>
      <c r="K258" s="386"/>
      <c r="L258" s="386"/>
      <c r="M258" s="381"/>
      <c r="N258" s="141"/>
      <c r="O258" s="121"/>
      <c r="Q258" s="253" t="str">
        <f t="shared" ref="Q258:Q261" si="39">E258</f>
        <v xml:space="preserve">timetillegg kveld </v>
      </c>
      <c r="R258" s="412">
        <f>F258</f>
        <v>0</v>
      </c>
      <c r="S258" s="253" t="str" cm="1">
        <f t="array" ref="S258">_xlfn.IFS(AND(R243&gt;0,R258=0),$R$7,TRUE,"")</f>
        <v/>
      </c>
      <c r="T258" s="414">
        <f>R258*R243</f>
        <v>0</v>
      </c>
      <c r="U258" s="210" t="s">
        <v>87</v>
      </c>
    </row>
    <row r="259" spans="1:22" ht="16.5" thickTop="1" thickBot="1" x14ac:dyDescent="0.3">
      <c r="A259" s="121"/>
      <c r="B259" s="141"/>
      <c r="C259" s="163"/>
      <c r="D259" s="247"/>
      <c r="E259" s="413" t="s">
        <v>110</v>
      </c>
      <c r="F259" s="655">
        <v>0</v>
      </c>
      <c r="G259" s="374" t="s">
        <v>90</v>
      </c>
      <c r="H259" s="380"/>
      <c r="I259" s="237" t="str">
        <f>S259</f>
        <v/>
      </c>
      <c r="J259" s="362"/>
      <c r="K259" s="386"/>
      <c r="L259" s="386"/>
      <c r="M259" s="381"/>
      <c r="N259" s="141"/>
      <c r="O259" s="121"/>
      <c r="Q259" s="253" t="str">
        <f t="shared" si="39"/>
        <v xml:space="preserve">timetillegg natt </v>
      </c>
      <c r="R259" s="412">
        <f t="shared" ref="R259:R260" si="40">F259</f>
        <v>0</v>
      </c>
      <c r="S259" s="253" t="str" cm="1">
        <f t="array" ref="S259">_xlfn.IFS(AND(R244&gt;0,R259=0),$R$7,TRUE,"")</f>
        <v/>
      </c>
      <c r="T259" s="414">
        <f>R259*R244</f>
        <v>0</v>
      </c>
      <c r="U259" s="210" t="s">
        <v>87</v>
      </c>
    </row>
    <row r="260" spans="1:22" ht="16.5" thickTop="1" thickBot="1" x14ac:dyDescent="0.3">
      <c r="A260" s="121"/>
      <c r="B260" s="141"/>
      <c r="C260" s="163"/>
      <c r="D260" s="247"/>
      <c r="E260" s="413" t="s">
        <v>111</v>
      </c>
      <c r="F260" s="654">
        <v>0</v>
      </c>
      <c r="G260" s="374" t="s">
        <v>90</v>
      </c>
      <c r="H260" s="380"/>
      <c r="I260" s="237" t="str">
        <f>S260</f>
        <v/>
      </c>
      <c r="J260" s="362"/>
      <c r="K260" s="386"/>
      <c r="L260" s="386"/>
      <c r="M260" s="381"/>
      <c r="N260" s="141"/>
      <c r="O260" s="121"/>
      <c r="Q260" s="253" t="str">
        <f t="shared" si="39"/>
        <v>timetillegg helg</v>
      </c>
      <c r="R260" s="412">
        <f t="shared" si="40"/>
        <v>0</v>
      </c>
      <c r="S260" s="253" t="str" cm="1">
        <f t="array" ref="S260">_xlfn.IFS(AND(R246&gt;0,R260=0),$R$7,TRUE,"")</f>
        <v/>
      </c>
      <c r="T260" s="414">
        <f>R260*R246</f>
        <v>0</v>
      </c>
      <c r="U260" s="210" t="s">
        <v>87</v>
      </c>
    </row>
    <row r="261" spans="1:22" ht="15.75" thickTop="1" x14ac:dyDescent="0.25">
      <c r="A261" s="121"/>
      <c r="B261" s="141"/>
      <c r="C261" s="163"/>
      <c r="D261" s="247"/>
      <c r="E261" s="413" t="s">
        <v>112</v>
      </c>
      <c r="F261" s="656">
        <v>0</v>
      </c>
      <c r="G261" s="374" t="s">
        <v>90</v>
      </c>
      <c r="H261" s="380"/>
      <c r="I261" s="237" t="str">
        <f>S261</f>
        <v/>
      </c>
      <c r="J261" s="362"/>
      <c r="K261" s="386"/>
      <c r="L261" s="386"/>
      <c r="M261" s="381"/>
      <c r="N261" s="141"/>
      <c r="O261" s="121"/>
      <c r="Q261" s="253" t="str">
        <f t="shared" si="39"/>
        <v>prosenttillegg helligdag</v>
      </c>
      <c r="R261" s="415">
        <f>F261</f>
        <v>0</v>
      </c>
      <c r="S261" s="253" t="str" cm="1">
        <f t="array" ref="S261">_xlfn.IFS(AND(OR(R247&gt;0,R248&gt;0),R261=0),$R$7,TRUE,"")</f>
        <v/>
      </c>
      <c r="T261" s="414" t="e">
        <f>((R261*R247*T242*R270)+(R261*R247*T243*(R270+R258))+(R261*R247*T244*(R270+R259)))+((R261*R248*T242*(R270+R260))+(R261*R248*T243*(R270+R258+R260))+(R261*R248*T244*(R270+R259+R260)))</f>
        <v>#DIV/0!</v>
      </c>
      <c r="U261" s="210" t="s">
        <v>87</v>
      </c>
      <c r="V261" s="416"/>
    </row>
    <row r="262" spans="1:22" x14ac:dyDescent="0.25">
      <c r="A262" s="121"/>
      <c r="B262" s="141"/>
      <c r="C262" s="163"/>
      <c r="D262" s="247"/>
      <c r="E262" s="417" t="s">
        <v>113</v>
      </c>
      <c r="F262" s="418"/>
      <c r="G262" s="419"/>
      <c r="H262" s="380"/>
      <c r="I262" s="420"/>
      <c r="J262" s="407"/>
      <c r="K262" s="407"/>
      <c r="L262" s="407"/>
      <c r="M262" s="381"/>
      <c r="N262" s="141"/>
      <c r="O262" s="121"/>
      <c r="Q262" s="402"/>
      <c r="R262" s="402"/>
      <c r="S262" s="402"/>
      <c r="T262" s="402"/>
      <c r="U262" s="210" t="s">
        <v>87</v>
      </c>
    </row>
    <row r="263" spans="1:22" ht="8.1" customHeight="1" thickBot="1" x14ac:dyDescent="0.3">
      <c r="A263" s="121"/>
      <c r="B263" s="141"/>
      <c r="C263" s="163"/>
      <c r="D263" s="247"/>
      <c r="E263" s="249"/>
      <c r="F263" s="390"/>
      <c r="G263" s="185"/>
      <c r="H263" s="380"/>
      <c r="I263" s="386"/>
      <c r="J263" s="362"/>
      <c r="K263" s="362"/>
      <c r="L263" s="362"/>
      <c r="M263" s="381"/>
      <c r="N263" s="141"/>
      <c r="O263" s="121"/>
      <c r="Q263" s="402"/>
      <c r="R263" s="402"/>
      <c r="S263" s="402"/>
      <c r="T263" s="402"/>
      <c r="U263" s="210" t="s">
        <v>87</v>
      </c>
    </row>
    <row r="264" spans="1:22" ht="15.75" thickTop="1" x14ac:dyDescent="0.25">
      <c r="A264" s="121"/>
      <c r="B264" s="141"/>
      <c r="C264" s="163"/>
      <c r="D264" s="247"/>
      <c r="E264" s="384" t="s">
        <v>114</v>
      </c>
      <c r="F264" s="409"/>
      <c r="G264" s="374"/>
      <c r="H264" s="380"/>
      <c r="I264" s="386"/>
      <c r="J264" s="362"/>
      <c r="K264" s="362"/>
      <c r="L264" s="362"/>
      <c r="M264" s="381"/>
      <c r="N264" s="141"/>
      <c r="O264" s="121"/>
      <c r="Q264" s="410"/>
      <c r="R264" s="411"/>
      <c r="S264" s="410"/>
      <c r="T264" s="410"/>
      <c r="U264" s="210" t="s">
        <v>87</v>
      </c>
    </row>
    <row r="265" spans="1:22" ht="15.75" thickBot="1" x14ac:dyDescent="0.3">
      <c r="A265" s="121"/>
      <c r="B265" s="141"/>
      <c r="C265" s="163"/>
      <c r="D265" s="247"/>
      <c r="E265" s="373" t="s">
        <v>115</v>
      </c>
      <c r="F265" s="643" t="s">
        <v>129</v>
      </c>
      <c r="G265" s="374" t="s">
        <v>90</v>
      </c>
      <c r="H265" s="380"/>
      <c r="I265" s="237" t="str">
        <f t="shared" ref="I265" si="41">S265</f>
        <v xml:space="preserve">*obligatorisk </v>
      </c>
      <c r="J265" s="421"/>
      <c r="K265" s="421"/>
      <c r="L265" s="421"/>
      <c r="M265" s="381"/>
      <c r="N265" s="141"/>
      <c r="O265" s="121"/>
      <c r="Q265" s="253" t="str">
        <f>E265</f>
        <v>sats feriepenger</v>
      </c>
      <c r="R265" s="422" t="str">
        <f>F265</f>
        <v>Velg fra liste….</v>
      </c>
      <c r="S265" s="253" t="str" cm="1">
        <f t="array" ref="S265">_xlfn.IFS(F265="",$R$7,F265=Innstillinger!$B$8,$R$7,TRUE,"")</f>
        <v xml:space="preserve">*obligatorisk </v>
      </c>
      <c r="T265" s="379" t="s">
        <v>87</v>
      </c>
      <c r="U265" s="210" t="s">
        <v>87</v>
      </c>
    </row>
    <row r="266" spans="1:22" ht="16.5" thickTop="1" thickBot="1" x14ac:dyDescent="0.3">
      <c r="A266" s="121"/>
      <c r="B266" s="141"/>
      <c r="C266" s="163"/>
      <c r="D266" s="247"/>
      <c r="E266" s="373" t="s">
        <v>116</v>
      </c>
      <c r="F266" s="648">
        <v>0.11</v>
      </c>
      <c r="G266" s="374" t="s">
        <v>90</v>
      </c>
      <c r="H266" s="573"/>
      <c r="I266" s="237"/>
      <c r="J266" s="362"/>
      <c r="K266" s="423"/>
      <c r="L266" s="423"/>
      <c r="M266" s="381"/>
      <c r="N266" s="141"/>
      <c r="O266" s="121"/>
      <c r="Q266" s="253" t="str">
        <f>E266</f>
        <v>sats pensjon</v>
      </c>
      <c r="R266" s="422">
        <f>F266+F267</f>
        <v>0.09</v>
      </c>
      <c r="S266" s="253"/>
      <c r="T266" s="379" t="s">
        <v>87</v>
      </c>
      <c r="U266" s="210" t="s">
        <v>87</v>
      </c>
    </row>
    <row r="267" spans="1:22" ht="16.5" thickTop="1" thickBot="1" x14ac:dyDescent="0.3">
      <c r="A267" s="121"/>
      <c r="B267" s="141"/>
      <c r="C267" s="163"/>
      <c r="D267" s="247"/>
      <c r="E267" s="413" t="s">
        <v>279</v>
      </c>
      <c r="F267" s="666">
        <v>-0.02</v>
      </c>
      <c r="G267" s="374" t="s">
        <v>90</v>
      </c>
      <c r="H267" s="573"/>
      <c r="I267" s="237" t="str">
        <f t="shared" ref="I267:I268" si="42">S267</f>
        <v/>
      </c>
      <c r="J267" s="362"/>
      <c r="K267" s="423"/>
      <c r="L267" s="423"/>
      <c r="M267" s="381"/>
      <c r="N267" s="141"/>
      <c r="O267" s="121"/>
      <c r="Q267" s="253"/>
      <c r="R267" s="422"/>
      <c r="S267" s="253" t="str" cm="1">
        <f t="array" ref="S267">_xlfn.IFS(F267=0%,$R$9,TRUE,"")</f>
        <v/>
      </c>
      <c r="T267" s="379"/>
    </row>
    <row r="268" spans="1:22" ht="15.75" thickTop="1" x14ac:dyDescent="0.25">
      <c r="A268" s="121"/>
      <c r="B268" s="141"/>
      <c r="C268" s="163"/>
      <c r="D268" s="247"/>
      <c r="E268" s="424" t="s">
        <v>117</v>
      </c>
      <c r="F268" s="644" t="s">
        <v>129</v>
      </c>
      <c r="G268" s="374" t="s">
        <v>90</v>
      </c>
      <c r="H268" s="380"/>
      <c r="I268" s="237" t="str">
        <f t="shared" si="42"/>
        <v xml:space="preserve">*obligatorisk </v>
      </c>
      <c r="J268" s="423"/>
      <c r="K268" s="237"/>
      <c r="L268" s="237"/>
      <c r="M268" s="381"/>
      <c r="N268" s="141"/>
      <c r="O268" s="121"/>
      <c r="Q268" s="253" t="str">
        <f>E268</f>
        <v>sats arbeidsgiveravgift</v>
      </c>
      <c r="R268" s="422" t="str">
        <f>F268</f>
        <v>Velg fra liste….</v>
      </c>
      <c r="S268" s="253" t="str" cm="1">
        <f t="array" ref="S268">_xlfn.IFS(F268="",$R$7,F268=Innstillinger!$B$8,$R$7,TRUE,"")</f>
        <v xml:space="preserve">*obligatorisk </v>
      </c>
      <c r="T268" s="379" t="s">
        <v>87</v>
      </c>
      <c r="U268" s="210" t="s">
        <v>87</v>
      </c>
    </row>
    <row r="269" spans="1:22" x14ac:dyDescent="0.25">
      <c r="A269" s="121"/>
      <c r="B269" s="141"/>
      <c r="C269" s="163"/>
      <c r="D269" s="247"/>
      <c r="E269" s="417" t="s">
        <v>118</v>
      </c>
      <c r="F269" s="418"/>
      <c r="G269" s="419"/>
      <c r="H269" s="380"/>
      <c r="I269" s="425"/>
      <c r="J269" s="407"/>
      <c r="K269" s="407"/>
      <c r="L269" s="407"/>
      <c r="M269" s="381"/>
      <c r="N269" s="141"/>
      <c r="O269" s="121"/>
      <c r="Q269" s="426" t="s">
        <v>119</v>
      </c>
      <c r="R269" s="427" t="str" cm="1">
        <f t="array" ref="R269">_xlfn.IFS(ISERROR(R283),"Nei",COUNTIF(I232:I268,$R$7)=0,"Ja",TRUE,"Nei")</f>
        <v>Nei</v>
      </c>
      <c r="S269" s="353"/>
      <c r="T269" s="353"/>
      <c r="U269" s="210" t="s">
        <v>87</v>
      </c>
      <c r="V269" s="210" t="s">
        <v>87</v>
      </c>
    </row>
    <row r="270" spans="1:22" ht="8.1" customHeight="1" x14ac:dyDescent="0.25">
      <c r="A270" s="121"/>
      <c r="B270" s="141"/>
      <c r="C270" s="163"/>
      <c r="D270" s="247"/>
      <c r="E270" s="249"/>
      <c r="F270" s="392"/>
      <c r="G270" s="185"/>
      <c r="H270" s="380"/>
      <c r="I270" s="425"/>
      <c r="J270" s="362"/>
      <c r="K270" s="362"/>
      <c r="L270" s="362"/>
      <c r="M270" s="381"/>
      <c r="N270" s="141"/>
      <c r="O270" s="121"/>
      <c r="Q270" s="372"/>
      <c r="R270" s="372"/>
      <c r="S270" s="372"/>
      <c r="T270" s="372"/>
      <c r="U270" s="210" t="s">
        <v>87</v>
      </c>
      <c r="V270" s="210" t="s">
        <v>87</v>
      </c>
    </row>
    <row r="271" spans="1:22" ht="15.75" thickBot="1" x14ac:dyDescent="0.3">
      <c r="A271" s="121"/>
      <c r="B271" s="141"/>
      <c r="C271" s="163"/>
      <c r="D271" s="247"/>
      <c r="E271" s="373" t="s">
        <v>120</v>
      </c>
      <c r="F271" s="428" t="str">
        <f>IF(R269="nei","",R271)</f>
        <v/>
      </c>
      <c r="G271" s="429"/>
      <c r="H271" s="380"/>
      <c r="I271" s="425" t="str">
        <f>S271</f>
        <v/>
      </c>
      <c r="J271" s="430"/>
      <c r="K271" s="430"/>
      <c r="L271" s="430"/>
      <c r="M271" s="381"/>
      <c r="N271" s="141"/>
      <c r="O271" s="121"/>
      <c r="P271" s="431"/>
      <c r="Q271" s="253" t="s">
        <v>43</v>
      </c>
      <c r="R271" s="432" t="e">
        <f>R257/R254/52</f>
        <v>#DIV/0!</v>
      </c>
      <c r="S271" s="253" t="str" cm="1">
        <f t="array" ref="S271">_xlfn.IFS(AND(I283=TRUE,R269="NEI"),$R$10,I283=TRUE,T271,TRUE,"")</f>
        <v/>
      </c>
      <c r="T271" s="433" t="e">
        <f>"➡️ "&amp;TEXT(R271,"# ##0")&amp;" kr =  "&amp;TEXT(R257,"# ##0")&amp;" kr årslønnn ÷  "&amp;TEXT(R254,"#,##")&amp;" timer/uke  ÷  52 uker"</f>
        <v>#DIV/0!</v>
      </c>
      <c r="U271" s="210" t="s">
        <v>87</v>
      </c>
    </row>
    <row r="272" spans="1:22" ht="15.75" thickTop="1" x14ac:dyDescent="0.25">
      <c r="A272" s="121"/>
      <c r="B272" s="141"/>
      <c r="C272" s="163"/>
      <c r="D272" s="247"/>
      <c r="E272" s="373" t="s">
        <v>121</v>
      </c>
      <c r="F272" s="434" t="str">
        <f>IF(R269="nei","",R272)</f>
        <v/>
      </c>
      <c r="G272" s="429"/>
      <c r="H272" s="380"/>
      <c r="I272" s="425" t="str">
        <f>S272</f>
        <v/>
      </c>
      <c r="J272" s="435"/>
      <c r="K272" s="435"/>
      <c r="L272" s="435"/>
      <c r="M272" s="381"/>
      <c r="N272" s="141"/>
      <c r="O272" s="121"/>
      <c r="Q272" s="253" t="s">
        <v>121</v>
      </c>
      <c r="R272" s="412" t="e">
        <f>(R271*(1+R265+R266+(R265*R266))*(1+R268))</f>
        <v>#DIV/0!</v>
      </c>
      <c r="S272" s="253" t="str" cm="1">
        <f t="array" ref="S272">_xlfn.IFS(AND(I283=TRUE,R269="NEI"),$R$10,I283=TRUE,T272,TRUE,"")</f>
        <v/>
      </c>
      <c r="T272" s="433" t="e">
        <f>"➡️ "&amp;TEXT(R272,"# ##0")&amp;" kr =  "&amp;TEXT(R271,"# ##0,00")&amp;" kr timelønn, uten sosiale utgifter x  sosiale utgifter"</f>
        <v>#DIV/0!</v>
      </c>
      <c r="U272" s="210" t="s">
        <v>87</v>
      </c>
    </row>
    <row r="273" spans="1:23" x14ac:dyDescent="0.25">
      <c r="A273" s="121"/>
      <c r="B273" s="141"/>
      <c r="C273" s="163"/>
      <c r="D273" s="256"/>
      <c r="E273" s="398"/>
      <c r="F273" s="398"/>
      <c r="G273" s="399"/>
      <c r="H273" s="400"/>
      <c r="I273" s="425"/>
      <c r="J273" s="362"/>
      <c r="K273" s="423"/>
      <c r="L273" s="423"/>
      <c r="M273" s="381"/>
      <c r="N273" s="141"/>
      <c r="O273" s="121"/>
      <c r="Q273" s="402"/>
      <c r="R273" s="402"/>
      <c r="S273" s="402"/>
      <c r="T273" s="402"/>
      <c r="U273" s="210" t="s">
        <v>87</v>
      </c>
    </row>
    <row r="274" spans="1:23" ht="8.1" customHeight="1" x14ac:dyDescent="0.25">
      <c r="A274" s="121"/>
      <c r="B274" s="141"/>
      <c r="C274" s="163"/>
      <c r="D274" s="164"/>
      <c r="E274" s="382"/>
      <c r="F274" s="382"/>
      <c r="G274" s="401"/>
      <c r="H274" s="382"/>
      <c r="I274" s="425"/>
      <c r="J274" s="362"/>
      <c r="K274" s="362"/>
      <c r="L274" s="362"/>
      <c r="M274" s="381"/>
      <c r="N274" s="141"/>
      <c r="O274" s="121"/>
      <c r="Q274" s="402"/>
      <c r="R274" s="402"/>
      <c r="S274" s="402"/>
      <c r="T274" s="402"/>
      <c r="U274" s="210" t="s">
        <v>87</v>
      </c>
    </row>
    <row r="275" spans="1:23" ht="30" customHeight="1" x14ac:dyDescent="0.35">
      <c r="A275" s="355"/>
      <c r="B275" s="356"/>
      <c r="C275" s="357"/>
      <c r="D275" s="358" t="s">
        <v>10</v>
      </c>
      <c r="E275" s="359"/>
      <c r="F275" s="360"/>
      <c r="G275" s="359"/>
      <c r="H275" s="361"/>
      <c r="I275" s="436"/>
      <c r="J275" s="363"/>
      <c r="K275" s="363"/>
      <c r="L275" s="363"/>
      <c r="M275" s="364"/>
      <c r="N275" s="356"/>
      <c r="O275" s="355"/>
      <c r="P275" s="363"/>
      <c r="Q275" s="365"/>
      <c r="R275" s="365"/>
      <c r="S275" s="365"/>
      <c r="T275" s="365"/>
      <c r="U275" s="210" t="s">
        <v>87</v>
      </c>
      <c r="W275" s="363"/>
    </row>
    <row r="276" spans="1:23" ht="8.1" customHeight="1" x14ac:dyDescent="0.25">
      <c r="A276" s="121"/>
      <c r="B276" s="158"/>
      <c r="C276" s="366"/>
      <c r="D276" s="404"/>
      <c r="E276" s="405"/>
      <c r="F276" s="368"/>
      <c r="G276" s="219"/>
      <c r="H276" s="369"/>
      <c r="I276" s="370"/>
      <c r="J276" s="219"/>
      <c r="K276" s="219"/>
      <c r="L276" s="219"/>
      <c r="M276" s="371"/>
      <c r="N276" s="158"/>
      <c r="O276" s="121"/>
      <c r="P276" s="219"/>
      <c r="Q276" s="402"/>
      <c r="R276" s="402"/>
      <c r="S276" s="402"/>
      <c r="T276" s="402"/>
      <c r="U276" s="210" t="s">
        <v>87</v>
      </c>
      <c r="V276" s="354"/>
      <c r="W276" s="219"/>
    </row>
    <row r="277" spans="1:23" ht="15.75" thickBot="1" x14ac:dyDescent="0.3">
      <c r="A277" s="121"/>
      <c r="B277" s="141"/>
      <c r="C277" s="163"/>
      <c r="D277" s="247"/>
      <c r="E277" s="382" t="s">
        <v>122</v>
      </c>
      <c r="F277" s="437" t="str">
        <f>IF(R269="nei","",R277)</f>
        <v/>
      </c>
      <c r="G277" s="438"/>
      <c r="H277" s="380"/>
      <c r="I277" s="425" t="str">
        <f t="shared" ref="I277:I281" si="43">S277</f>
        <v/>
      </c>
      <c r="J277" s="439"/>
      <c r="K277" s="439"/>
      <c r="L277" s="439"/>
      <c r="M277" s="381"/>
      <c r="N277" s="141"/>
      <c r="O277" s="121"/>
      <c r="P277" s="440"/>
      <c r="Q277" s="253" t="s">
        <v>122</v>
      </c>
      <c r="R277" s="441" t="e">
        <f>R240*R271</f>
        <v>#DIV/0!</v>
      </c>
      <c r="S277" s="253" t="str" cm="1">
        <f t="array" ref="S277">_xlfn.IFS(AND(I283=TRUE,R269="NEI"),$R$10,I283=TRUE,T277,TRUE,"")</f>
        <v/>
      </c>
      <c r="T277" s="433" t="str">
        <f>"➡️ "&amp;TEXT(F277,"# ##0")&amp;" kr  =   "&amp;F240&amp;" total arbeidstimer  x  "&amp;TEXT(F271,"#,##")&amp;" kroner per time"</f>
        <v>➡️  kr  =   0 total arbeidstimer  x   kroner per time</v>
      </c>
      <c r="U277" s="210" t="s">
        <v>87</v>
      </c>
    </row>
    <row r="278" spans="1:23" ht="16.5" thickTop="1" thickBot="1" x14ac:dyDescent="0.3">
      <c r="A278" s="121"/>
      <c r="B278" s="141"/>
      <c r="C278" s="163"/>
      <c r="D278" s="247"/>
      <c r="E278" s="382" t="s">
        <v>123</v>
      </c>
      <c r="F278" s="437" t="str">
        <f>IF(R269="nei","",R278)</f>
        <v/>
      </c>
      <c r="G278" s="438"/>
      <c r="H278" s="380"/>
      <c r="I278" s="425" t="str">
        <f t="shared" si="43"/>
        <v/>
      </c>
      <c r="J278" s="435"/>
      <c r="K278" s="439"/>
      <c r="L278" s="439"/>
      <c r="M278" s="381"/>
      <c r="N278" s="141"/>
      <c r="O278" s="121"/>
      <c r="P278" s="440"/>
      <c r="Q278" s="253" t="s">
        <v>123</v>
      </c>
      <c r="R278" s="412" t="e">
        <f>SUM(T258:T261)</f>
        <v>#DIV/0!</v>
      </c>
      <c r="S278" s="253" t="str" cm="1">
        <f t="array" ref="S278">_xlfn.IFS(AND(I283=TRUE,R269="NEI"),$R$10,I283=TRUE,T278,TRUE,"")</f>
        <v/>
      </c>
      <c r="T278" s="433" t="str">
        <f>"➡️ "&amp;TEXT(F278,"# ##0")&amp;" kr  =  arbeidstimer i helg / natt / kveld / helligdag x timetillegg"</f>
        <v>➡️  kr  =  arbeidstimer i helg / natt / kveld / helligdag x timetillegg</v>
      </c>
      <c r="U278" s="210" t="s">
        <v>87</v>
      </c>
    </row>
    <row r="279" spans="1:23" ht="16.5" thickTop="1" thickBot="1" x14ac:dyDescent="0.3">
      <c r="A279" s="121"/>
      <c r="B279" s="141"/>
      <c r="C279" s="163"/>
      <c r="D279" s="247"/>
      <c r="E279" s="382" t="s">
        <v>33</v>
      </c>
      <c r="F279" s="437" t="str">
        <f>IF(R269="nei","",R279)</f>
        <v/>
      </c>
      <c r="G279" s="438"/>
      <c r="H279" s="380"/>
      <c r="I279" s="425" t="str">
        <f t="shared" si="43"/>
        <v/>
      </c>
      <c r="J279" s="435"/>
      <c r="K279" s="435"/>
      <c r="L279" s="435"/>
      <c r="M279" s="381"/>
      <c r="N279" s="141"/>
      <c r="O279" s="121"/>
      <c r="P279" s="440"/>
      <c r="Q279" s="253" t="s">
        <v>33</v>
      </c>
      <c r="R279" s="412" t="e">
        <f>(R277+R278)*R265</f>
        <v>#DIV/0!</v>
      </c>
      <c r="S279" s="253" t="str" cm="1">
        <f t="array" ref="S279">_xlfn.IFS(AND(I283=TRUE,R269="NEI"),$R$10,I283=TRUE,T279,TRUE,"")</f>
        <v/>
      </c>
      <c r="T279" s="433" t="e">
        <f>"➡️ "&amp;TEXT(F279,"# ##0")&amp;" kr = "&amp;TEXT(F277+F278,"# ##0")&amp;" kr lønn &amp; tillegg  x  "&amp;TEXT(F265,"#,0 %")&amp;" feriepenger sats"</f>
        <v>#VALUE!</v>
      </c>
      <c r="U279" s="210" t="s">
        <v>87</v>
      </c>
    </row>
    <row r="280" spans="1:23" ht="16.5" thickTop="1" thickBot="1" x14ac:dyDescent="0.3">
      <c r="A280" s="121"/>
      <c r="B280" s="141"/>
      <c r="C280" s="163"/>
      <c r="D280" s="247"/>
      <c r="E280" s="382" t="s">
        <v>124</v>
      </c>
      <c r="F280" s="437" t="str">
        <f>IF(R269="nei","",R280)</f>
        <v/>
      </c>
      <c r="G280" s="438"/>
      <c r="H280" s="380"/>
      <c r="I280" s="425" t="str">
        <f t="shared" si="43"/>
        <v/>
      </c>
      <c r="J280" s="435"/>
      <c r="K280" s="435"/>
      <c r="L280" s="435"/>
      <c r="M280" s="381"/>
      <c r="N280" s="141"/>
      <c r="O280" s="121"/>
      <c r="P280" s="440"/>
      <c r="Q280" s="253" t="s">
        <v>124</v>
      </c>
      <c r="R280" s="412" t="e">
        <f>SUM(R277:R279)*R266</f>
        <v>#DIV/0!</v>
      </c>
      <c r="S280" s="253" t="str" cm="1">
        <f t="array" ref="S280">_xlfn.IFS(AND(I283=TRUE,R269="NEI"),$R$10,I283=TRUE,T280,TRUE,"")</f>
        <v/>
      </c>
      <c r="T280" s="433" t="e">
        <f>"➡️ "&amp;TEXT(F280,"# ##0")&amp;" kr  = ("&amp;TEXT(F277+F278,"# ##0")&amp;" kr lønn &amp; tillegg + "&amp;TEXT(F279,"# ##0")&amp;" kr feriepenger) x "&amp;TEXT(F266,"#,0 %")&amp;" pensjon"</f>
        <v>#VALUE!</v>
      </c>
      <c r="U280" s="210" t="s">
        <v>87</v>
      </c>
    </row>
    <row r="281" spans="1:23" ht="16.5" thickTop="1" thickBot="1" x14ac:dyDescent="0.3">
      <c r="A281" s="121"/>
      <c r="B281" s="141"/>
      <c r="C281" s="163"/>
      <c r="D281" s="247"/>
      <c r="E281" s="382" t="s">
        <v>22</v>
      </c>
      <c r="F281" s="437" t="str">
        <f>IF(R269="nei","",R281)</f>
        <v/>
      </c>
      <c r="G281" s="438"/>
      <c r="H281" s="380"/>
      <c r="I281" s="425" t="str">
        <f t="shared" si="43"/>
        <v/>
      </c>
      <c r="J281" s="435"/>
      <c r="K281" s="435"/>
      <c r="L281" s="435"/>
      <c r="M281" s="381"/>
      <c r="N281" s="141"/>
      <c r="O281" s="121"/>
      <c r="P281" s="440"/>
      <c r="Q281" s="253" t="s">
        <v>22</v>
      </c>
      <c r="R281" s="412" t="e">
        <f>SUM(R277:R280)*R268</f>
        <v>#DIV/0!</v>
      </c>
      <c r="S281" s="253" t="str" cm="1">
        <f t="array" ref="S281">_xlfn.IFS(AND(I283=TRUE,R269="NEI"),$R$10,I283=TRUE,T281,TRUE,"")</f>
        <v/>
      </c>
      <c r="T281" s="433" t="e">
        <f>"➡️ "&amp;TEXT(F281,"# ##0")&amp;" kr = ("&amp;TEXT(F277+F278,"# ##0")&amp;" kr lønn + "&amp;TEXT(F279,"# ##0")&amp;" kr f.p. + "&amp;TEXT(F280,"# ##0")&amp;" kr pensjon)  x  "&amp;TEXT(F268,"#,0 %")&amp;" aga "</f>
        <v>#VALUE!</v>
      </c>
      <c r="U281" s="210" t="s">
        <v>87</v>
      </c>
    </row>
    <row r="282" spans="1:23" ht="8.1" customHeight="1" thickTop="1" x14ac:dyDescent="0.25">
      <c r="A282" s="121"/>
      <c r="B282" s="141"/>
      <c r="C282" s="163"/>
      <c r="D282" s="256"/>
      <c r="E282" s="257"/>
      <c r="F282" s="288"/>
      <c r="G282" s="442"/>
      <c r="H282" s="443"/>
      <c r="J282" s="435"/>
      <c r="K282" s="435"/>
      <c r="L282" s="435"/>
      <c r="M282" s="381"/>
      <c r="N282" s="141"/>
      <c r="O282" s="121"/>
      <c r="Q282" s="402"/>
      <c r="R282" s="402"/>
      <c r="S282" s="402"/>
      <c r="T282" s="402"/>
      <c r="U282" s="210" t="s">
        <v>87</v>
      </c>
    </row>
    <row r="283" spans="1:23" ht="18.75" x14ac:dyDescent="0.3">
      <c r="A283" s="121"/>
      <c r="B283" s="158"/>
      <c r="C283" s="445"/>
      <c r="D283" s="446"/>
      <c r="E283" s="447" t="s">
        <v>125</v>
      </c>
      <c r="F283" s="285" t="str">
        <f>IF(R269="nei","",R283)</f>
        <v/>
      </c>
      <c r="G283" s="448"/>
      <c r="H283" s="449"/>
      <c r="I283" s="56" t="b">
        <v>0</v>
      </c>
      <c r="J283" s="450" t="s">
        <v>126</v>
      </c>
      <c r="M283" s="371"/>
      <c r="N283" s="158"/>
      <c r="O283" s="121"/>
      <c r="P283" s="575" t="str">
        <f>P231&amp;"c"</f>
        <v>4c</v>
      </c>
      <c r="Q283" s="253" t="s">
        <v>125</v>
      </c>
      <c r="R283" s="412" t="e">
        <f>SUM(R277:R281)</f>
        <v>#DIV/0!</v>
      </c>
      <c r="S283" s="253"/>
      <c r="T283" s="379" t="s">
        <v>87</v>
      </c>
      <c r="U283" s="210" t="s">
        <v>87</v>
      </c>
    </row>
    <row r="284" spans="1:23" ht="8.1" customHeight="1" x14ac:dyDescent="0.25">
      <c r="A284" s="121"/>
      <c r="B284" s="141"/>
      <c r="C284" s="163"/>
      <c r="D284" s="256"/>
      <c r="E284" s="257"/>
      <c r="F284" s="288"/>
      <c r="G284" s="442"/>
      <c r="H284" s="443"/>
      <c r="J284" s="435"/>
      <c r="K284" s="435"/>
      <c r="L284" s="435"/>
      <c r="M284" s="381"/>
      <c r="N284" s="141"/>
      <c r="O284" s="121"/>
      <c r="Q284" s="402"/>
      <c r="R284" s="402"/>
      <c r="S284" s="402"/>
      <c r="T284" s="402"/>
      <c r="U284" s="210" t="s">
        <v>87</v>
      </c>
    </row>
    <row r="285" spans="1:23" ht="8.1" customHeight="1" x14ac:dyDescent="0.25">
      <c r="A285" s="121"/>
      <c r="B285" s="141"/>
      <c r="C285" s="163"/>
      <c r="D285" s="164"/>
      <c r="E285" s="208"/>
      <c r="F285" s="236"/>
      <c r="G285" s="438"/>
      <c r="H285" s="451"/>
      <c r="J285" s="435"/>
      <c r="K285" s="435"/>
      <c r="L285" s="435"/>
      <c r="M285" s="381"/>
      <c r="N285" s="141"/>
      <c r="O285" s="121"/>
      <c r="Q285" s="402"/>
      <c r="R285" s="402"/>
      <c r="S285" s="402"/>
      <c r="T285" s="402"/>
      <c r="U285" s="210" t="s">
        <v>87</v>
      </c>
    </row>
    <row r="286" spans="1:23" x14ac:dyDescent="0.25">
      <c r="A286" s="121"/>
      <c r="B286" s="141"/>
      <c r="C286" s="163"/>
      <c r="D286" s="452"/>
      <c r="E286" s="81" t="str">
        <f>IF(E287="","Skriv kommentar:","")</f>
        <v>Skriv kommentar:</v>
      </c>
      <c r="F286" s="81"/>
      <c r="G286" s="81"/>
      <c r="H286" s="82"/>
      <c r="J286" s="744" t="str">
        <f>IF(S286&amp;S287="","","⚠️Vi trenger mer informasjon")</f>
        <v/>
      </c>
      <c r="K286" s="745"/>
      <c r="L286" s="746"/>
      <c r="M286" s="381"/>
      <c r="N286" s="141"/>
      <c r="O286" s="121"/>
      <c r="Q286" s="253" t="s">
        <v>127</v>
      </c>
      <c r="R286" s="379"/>
      <c r="S286" s="453" t="str">
        <f>IFERROR(IF(S257=$R$9,IF(R266&gt;$R$6,"1. ","")&amp;$S$5,""),"")</f>
        <v/>
      </c>
      <c r="T286" s="379" t="s">
        <v>87</v>
      </c>
      <c r="U286" s="210" t="s">
        <v>87</v>
      </c>
    </row>
    <row r="287" spans="1:23" ht="15" customHeight="1" x14ac:dyDescent="0.25">
      <c r="A287" s="121"/>
      <c r="B287" s="141"/>
      <c r="C287" s="163"/>
      <c r="D287" s="454"/>
      <c r="E287" s="753"/>
      <c r="F287" s="753"/>
      <c r="G287" s="753"/>
      <c r="H287" s="455"/>
      <c r="J287" s="747" t="str">
        <f>_xlfn.TEXTJOIN(CHAR(10)&amp;CHAR(10),TRUE,S286,S287)</f>
        <v/>
      </c>
      <c r="K287" s="748"/>
      <c r="L287" s="749"/>
      <c r="M287" s="381"/>
      <c r="N287" s="141"/>
      <c r="O287" s="121"/>
      <c r="Q287" s="253" t="s">
        <v>280</v>
      </c>
      <c r="R287" s="379"/>
      <c r="S287" s="453" t="str">
        <f>IF(S267=$R$9,IF(S286="","","2. ")&amp;$S$6,"")</f>
        <v/>
      </c>
      <c r="T287" s="253" t="s">
        <v>87</v>
      </c>
      <c r="U287" s="210" t="s">
        <v>87</v>
      </c>
    </row>
    <row r="288" spans="1:23" x14ac:dyDescent="0.25">
      <c r="A288" s="121"/>
      <c r="B288" s="141"/>
      <c r="C288" s="163"/>
      <c r="D288" s="454"/>
      <c r="E288" s="753"/>
      <c r="F288" s="753"/>
      <c r="G288" s="753"/>
      <c r="H288" s="455"/>
      <c r="J288" s="747"/>
      <c r="K288" s="748"/>
      <c r="L288" s="749"/>
      <c r="M288" s="381"/>
      <c r="N288" s="141"/>
      <c r="O288" s="121"/>
      <c r="Q288" s="185"/>
      <c r="R288" s="611"/>
      <c r="S288" s="612"/>
      <c r="T288" s="185"/>
    </row>
    <row r="289" spans="1:23" x14ac:dyDescent="0.25">
      <c r="A289" s="121"/>
      <c r="B289" s="141"/>
      <c r="C289" s="163"/>
      <c r="D289" s="454"/>
      <c r="E289" s="753"/>
      <c r="F289" s="753"/>
      <c r="G289" s="753"/>
      <c r="H289" s="455"/>
      <c r="J289" s="747"/>
      <c r="K289" s="748"/>
      <c r="L289" s="749"/>
      <c r="M289" s="381"/>
      <c r="N289" s="141"/>
      <c r="O289" s="121"/>
    </row>
    <row r="290" spans="1:23" x14ac:dyDescent="0.25">
      <c r="A290" s="121"/>
      <c r="B290" s="141"/>
      <c r="C290" s="163"/>
      <c r="D290" s="454"/>
      <c r="E290" s="753"/>
      <c r="F290" s="753"/>
      <c r="G290" s="753"/>
      <c r="H290" s="455"/>
      <c r="J290" s="747"/>
      <c r="K290" s="748"/>
      <c r="L290" s="749"/>
      <c r="M290" s="381"/>
      <c r="N290" s="141"/>
      <c r="O290" s="121"/>
      <c r="Q290" s="315"/>
      <c r="R290" s="456"/>
    </row>
    <row r="291" spans="1:23" x14ac:dyDescent="0.25">
      <c r="A291" s="121"/>
      <c r="B291" s="141"/>
      <c r="C291" s="163"/>
      <c r="D291" s="454"/>
      <c r="E291" s="753"/>
      <c r="F291" s="753"/>
      <c r="G291" s="753"/>
      <c r="H291" s="455"/>
      <c r="J291" s="747"/>
      <c r="K291" s="748"/>
      <c r="L291" s="749"/>
      <c r="M291" s="381"/>
      <c r="N291" s="141"/>
      <c r="O291" s="121"/>
      <c r="R291" s="457"/>
    </row>
    <row r="292" spans="1:23" x14ac:dyDescent="0.25">
      <c r="A292" s="121"/>
      <c r="B292" s="141"/>
      <c r="C292" s="163"/>
      <c r="D292" s="458"/>
      <c r="E292" s="754"/>
      <c r="F292" s="754"/>
      <c r="G292" s="754"/>
      <c r="H292" s="459"/>
      <c r="J292" s="750"/>
      <c r="K292" s="751"/>
      <c r="L292" s="752"/>
      <c r="M292" s="381"/>
      <c r="N292" s="141"/>
      <c r="O292" s="121"/>
    </row>
    <row r="293" spans="1:23" ht="8.1" customHeight="1" x14ac:dyDescent="0.25">
      <c r="A293" s="121"/>
      <c r="B293" s="141"/>
      <c r="C293" s="163"/>
      <c r="D293" s="460"/>
      <c r="E293" s="461"/>
      <c r="F293" s="461"/>
      <c r="G293" s="461"/>
      <c r="H293" s="460"/>
      <c r="J293" s="462"/>
      <c r="K293" s="462"/>
      <c r="L293" s="462"/>
      <c r="M293" s="381"/>
      <c r="N293" s="141"/>
      <c r="O293" s="121"/>
    </row>
    <row r="294" spans="1:23" x14ac:dyDescent="0.25">
      <c r="A294" s="121"/>
      <c r="B294" s="141"/>
      <c r="C294" s="163"/>
      <c r="D294" s="574"/>
      <c r="E294" s="574"/>
      <c r="F294" s="574"/>
      <c r="G294" s="574"/>
      <c r="H294" s="574"/>
      <c r="J294" s="462"/>
      <c r="K294" s="462"/>
      <c r="L294" s="462"/>
      <c r="M294" s="381"/>
      <c r="N294" s="141"/>
      <c r="O294" s="121"/>
    </row>
    <row r="295" spans="1:23" x14ac:dyDescent="0.25">
      <c r="A295" s="121"/>
      <c r="B295" s="141"/>
      <c r="C295" s="163"/>
      <c r="D295" s="740" t="s">
        <v>287</v>
      </c>
      <c r="E295" s="741"/>
      <c r="F295" s="741"/>
      <c r="G295" s="741"/>
      <c r="H295" s="741"/>
      <c r="I295" s="737" t="s">
        <v>288</v>
      </c>
      <c r="J295" s="737"/>
      <c r="K295" s="617" t="s">
        <v>289</v>
      </c>
      <c r="L295" s="618"/>
      <c r="M295" s="381"/>
      <c r="N295" s="141"/>
      <c r="O295" s="121"/>
    </row>
    <row r="296" spans="1:23" ht="38.25" customHeight="1" x14ac:dyDescent="0.25">
      <c r="A296" s="121"/>
      <c r="B296" s="141"/>
      <c r="C296" s="163"/>
      <c r="D296" s="619"/>
      <c r="E296" s="742"/>
      <c r="F296" s="742"/>
      <c r="G296" s="742"/>
      <c r="H296" s="743"/>
      <c r="I296" s="738"/>
      <c r="J296" s="739"/>
      <c r="K296" s="718"/>
      <c r="L296" s="620"/>
      <c r="M296" s="381"/>
      <c r="N296" s="141"/>
      <c r="O296" s="121"/>
    </row>
    <row r="297" spans="1:23" x14ac:dyDescent="0.25">
      <c r="A297" s="121"/>
      <c r="B297" s="141"/>
      <c r="C297" s="163"/>
      <c r="D297" s="574"/>
      <c r="E297" s="574"/>
      <c r="F297" s="574"/>
      <c r="G297" s="574"/>
      <c r="H297" s="574"/>
      <c r="J297" s="462"/>
      <c r="K297" s="462"/>
      <c r="L297" s="462"/>
      <c r="M297" s="381"/>
      <c r="N297" s="141"/>
      <c r="O297" s="121"/>
    </row>
    <row r="298" spans="1:23" ht="15" customHeight="1" x14ac:dyDescent="0.25">
      <c r="A298" s="121"/>
      <c r="B298" s="141"/>
      <c r="C298" s="141"/>
      <c r="D298" s="141"/>
      <c r="E298" s="141"/>
      <c r="F298" s="318"/>
      <c r="G298" s="319"/>
      <c r="H298" s="198"/>
      <c r="I298" s="320"/>
      <c r="J298" s="141"/>
      <c r="K298" s="141"/>
      <c r="L298" s="141"/>
      <c r="M298" s="141"/>
      <c r="N298" s="141"/>
      <c r="O298" s="121"/>
    </row>
    <row r="299" spans="1:23" ht="6" customHeight="1" x14ac:dyDescent="0.25">
      <c r="A299" s="121"/>
      <c r="B299" s="121"/>
      <c r="C299" s="121"/>
      <c r="D299" s="121"/>
      <c r="E299" s="121"/>
      <c r="F299" s="122"/>
      <c r="G299" s="121"/>
      <c r="H299" s="121"/>
      <c r="I299" s="336"/>
      <c r="J299" s="121"/>
      <c r="K299" s="121"/>
      <c r="L299" s="121"/>
      <c r="M299" s="121"/>
      <c r="N299" s="121"/>
      <c r="O299" s="121"/>
    </row>
    <row r="300" spans="1:23" ht="15" customHeight="1" x14ac:dyDescent="0.25">
      <c r="A300" s="121"/>
      <c r="B300" s="141"/>
      <c r="C300" s="141"/>
      <c r="D300" s="141"/>
      <c r="E300" s="141"/>
      <c r="F300" s="318"/>
      <c r="G300" s="319"/>
      <c r="H300" s="198"/>
      <c r="I300" s="320"/>
      <c r="J300" s="141"/>
      <c r="K300" s="141"/>
      <c r="L300" s="141"/>
      <c r="M300" s="141"/>
      <c r="N300" s="141"/>
      <c r="O300" s="121"/>
    </row>
    <row r="301" spans="1:23" x14ac:dyDescent="0.25">
      <c r="A301" s="121"/>
      <c r="B301" s="141"/>
      <c r="C301" s="292"/>
      <c r="D301" s="293"/>
      <c r="E301" s="293"/>
      <c r="F301" s="337"/>
      <c r="G301" s="338"/>
      <c r="H301" s="295"/>
      <c r="I301" s="339"/>
      <c r="J301" s="293"/>
      <c r="K301" s="293"/>
      <c r="L301" s="293"/>
      <c r="M301" s="162"/>
      <c r="N301" s="141"/>
      <c r="O301" s="121"/>
      <c r="Q301" s="340" t="s">
        <v>81</v>
      </c>
      <c r="R301" s="341"/>
      <c r="S301" s="341"/>
      <c r="T301" s="342" t="s">
        <v>82</v>
      </c>
    </row>
    <row r="302" spans="1:23" ht="21" x14ac:dyDescent="0.25">
      <c r="A302" s="343"/>
      <c r="B302" s="344"/>
      <c r="C302" s="345"/>
      <c r="D302" s="346"/>
      <c r="E302" s="347" t="str">
        <f>"Beregning "&amp;P302</f>
        <v>Beregning 5</v>
      </c>
      <c r="F302" s="348"/>
      <c r="G302" s="346"/>
      <c r="H302" s="349"/>
      <c r="I302" s="350"/>
      <c r="J302" s="346"/>
      <c r="K302" s="346"/>
      <c r="L302" s="346"/>
      <c r="M302" s="351"/>
      <c r="N302" s="344"/>
      <c r="O302" s="343"/>
      <c r="P302" s="352">
        <f>COUNTIF($D$16:D303,"tiltaket")</f>
        <v>5</v>
      </c>
      <c r="Q302" s="353" t="s">
        <v>83</v>
      </c>
      <c r="R302" s="353" t="s">
        <v>84</v>
      </c>
      <c r="S302" s="353" t="s">
        <v>85</v>
      </c>
      <c r="T302" s="353" t="s">
        <v>86</v>
      </c>
      <c r="U302" s="210" t="s">
        <v>87</v>
      </c>
      <c r="V302" s="354"/>
      <c r="W302" s="352"/>
    </row>
    <row r="303" spans="1:23" ht="30" customHeight="1" x14ac:dyDescent="0.35">
      <c r="A303" s="355"/>
      <c r="B303" s="356"/>
      <c r="C303" s="357"/>
      <c r="D303" s="358" t="s">
        <v>88</v>
      </c>
      <c r="E303" s="359"/>
      <c r="F303" s="360"/>
      <c r="G303" s="359"/>
      <c r="H303" s="361"/>
      <c r="I303" s="362"/>
      <c r="J303" s="403"/>
      <c r="K303" s="363"/>
      <c r="L303" s="363"/>
      <c r="M303" s="364"/>
      <c r="N303" s="356"/>
      <c r="O303" s="355"/>
      <c r="P303" s="363"/>
      <c r="Q303" s="365"/>
      <c r="R303" s="365"/>
      <c r="S303" s="365"/>
      <c r="T303" s="365"/>
      <c r="U303" s="210" t="s">
        <v>87</v>
      </c>
      <c r="W303" s="363"/>
    </row>
    <row r="304" spans="1:23" ht="8.1" customHeight="1" x14ac:dyDescent="0.25">
      <c r="A304" s="121"/>
      <c r="B304" s="158"/>
      <c r="C304" s="366"/>
      <c r="D304" s="367"/>
      <c r="E304" s="219"/>
      <c r="F304" s="368"/>
      <c r="G304" s="219"/>
      <c r="H304" s="369"/>
      <c r="I304" s="576"/>
      <c r="J304" s="576"/>
      <c r="K304" s="219"/>
      <c r="L304" s="219"/>
      <c r="M304" s="371"/>
      <c r="N304" s="158"/>
      <c r="O304" s="121"/>
      <c r="P304" s="219"/>
      <c r="Q304" s="372"/>
      <c r="R304" s="372"/>
      <c r="S304" s="372"/>
      <c r="T304" s="372"/>
      <c r="U304" s="210" t="s">
        <v>87</v>
      </c>
      <c r="V304" s="354"/>
      <c r="W304" s="219"/>
    </row>
    <row r="305" spans="1:21" ht="15.75" thickBot="1" x14ac:dyDescent="0.3">
      <c r="A305" s="121"/>
      <c r="B305" s="141"/>
      <c r="C305" s="163"/>
      <c r="D305" s="247"/>
      <c r="E305" s="373" t="s">
        <v>89</v>
      </c>
      <c r="F305" s="665"/>
      <c r="G305" s="374" t="s">
        <v>90</v>
      </c>
      <c r="H305" s="375"/>
      <c r="I305" s="237" t="str">
        <f>S305</f>
        <v xml:space="preserve">*obligatorisk </v>
      </c>
      <c r="J305" s="577"/>
      <c r="K305" s="376"/>
      <c r="L305" s="376"/>
      <c r="M305" s="377"/>
      <c r="N305" s="158"/>
      <c r="O305" s="121"/>
      <c r="P305" s="575" t="str">
        <f>P302&amp;"a"</f>
        <v>5a</v>
      </c>
      <c r="Q305" s="253" t="str">
        <f>D303</f>
        <v>Tiltaket</v>
      </c>
      <c r="R305" s="378">
        <f>F305</f>
        <v>0</v>
      </c>
      <c r="S305" s="253" t="str" cm="1">
        <f t="array" ref="S305">_xlfn.IFS(F305="",$R$7,TRUE,"")</f>
        <v xml:space="preserve">*obligatorisk </v>
      </c>
      <c r="T305" s="379" t="s">
        <v>87</v>
      </c>
      <c r="U305" s="210" t="s">
        <v>87</v>
      </c>
    </row>
    <row r="306" spans="1:21" ht="15.75" thickTop="1" x14ac:dyDescent="0.25">
      <c r="A306" s="121"/>
      <c r="B306" s="141"/>
      <c r="C306" s="163"/>
      <c r="D306" s="247"/>
      <c r="E306" s="464" t="s">
        <v>91</v>
      </c>
      <c r="F306" s="651"/>
      <c r="G306" s="374" t="s">
        <v>90</v>
      </c>
      <c r="H306" s="380"/>
      <c r="I306" s="237" t="str">
        <f>S306</f>
        <v/>
      </c>
      <c r="J306" s="362"/>
      <c r="M306" s="381"/>
      <c r="N306" s="141"/>
      <c r="O306" s="121"/>
      <c r="Q306" s="253" t="str">
        <f>E306</f>
        <v xml:space="preserve">hvis tolk: hvilket tiltak er tolken brukt i? </v>
      </c>
      <c r="R306" s="378">
        <f>F306</f>
        <v>0</v>
      </c>
      <c r="S306" s="253" t="str" cm="1">
        <f t="array" ref="S306">_xlfn.IFS(AND(IFERROR(SEARCH("tolk",F305),0)&gt;0,F306=""),$R$7,TRUE,"")</f>
        <v/>
      </c>
      <c r="T306" s="379" t="s">
        <v>87</v>
      </c>
      <c r="U306" s="210" t="s">
        <v>87</v>
      </c>
    </row>
    <row r="307" spans="1:21" ht="8.1" customHeight="1" x14ac:dyDescent="0.25">
      <c r="A307" s="121"/>
      <c r="B307" s="141"/>
      <c r="C307" s="163"/>
      <c r="D307" s="247"/>
      <c r="E307" s="382"/>
      <c r="F307" s="382"/>
      <c r="G307" s="374"/>
      <c r="H307" s="375"/>
      <c r="I307" s="383"/>
      <c r="J307" s="577"/>
      <c r="K307" s="376"/>
      <c r="L307" s="376"/>
      <c r="M307" s="377"/>
      <c r="N307" s="158"/>
      <c r="O307" s="121"/>
      <c r="P307" s="219"/>
      <c r="Q307" s="353"/>
      <c r="R307" s="353"/>
      <c r="S307" s="353"/>
      <c r="T307" s="353"/>
      <c r="U307" s="210" t="s">
        <v>87</v>
      </c>
    </row>
    <row r="308" spans="1:21" x14ac:dyDescent="0.25">
      <c r="A308" s="121"/>
      <c r="B308" s="141"/>
      <c r="C308" s="163"/>
      <c r="D308" s="247"/>
      <c r="E308" s="384" t="s">
        <v>92</v>
      </c>
      <c r="F308" s="167"/>
      <c r="G308" s="385"/>
      <c r="H308" s="380"/>
      <c r="I308" s="386"/>
      <c r="J308" s="362"/>
      <c r="K308" s="362"/>
      <c r="L308" s="362"/>
      <c r="M308" s="381"/>
      <c r="N308" s="141"/>
      <c r="O308" s="121"/>
      <c r="Q308" s="372"/>
      <c r="R308" s="372"/>
      <c r="S308" s="372"/>
      <c r="T308" s="372"/>
      <c r="U308" s="210" t="s">
        <v>87</v>
      </c>
    </row>
    <row r="309" spans="1:21" ht="15.75" thickBot="1" x14ac:dyDescent="0.3">
      <c r="A309" s="121"/>
      <c r="B309" s="141"/>
      <c r="C309" s="163"/>
      <c r="D309" s="247"/>
      <c r="E309" s="387" t="s">
        <v>93</v>
      </c>
      <c r="F309" s="662"/>
      <c r="G309" s="374" t="s">
        <v>90</v>
      </c>
      <c r="H309" s="380"/>
      <c r="I309" s="237" t="str">
        <f>S309</f>
        <v xml:space="preserve">*obligatorisk </v>
      </c>
      <c r="J309" s="362"/>
      <c r="K309" s="388"/>
      <c r="L309" s="388"/>
      <c r="M309" s="381"/>
      <c r="N309" s="141"/>
      <c r="O309" s="121"/>
      <c r="Q309" s="253" t="str">
        <f>E309</f>
        <v xml:space="preserve">arbeidstimer per uke </v>
      </c>
      <c r="R309" s="389">
        <f>F309</f>
        <v>0</v>
      </c>
      <c r="S309" s="253" t="str" cm="1">
        <f t="array" ref="S309">_xlfn.IFS(F309="",$R$7,TRUE,"")</f>
        <v xml:space="preserve">*obligatorisk </v>
      </c>
      <c r="T309" s="379" t="s">
        <v>87</v>
      </c>
      <c r="U309" s="210" t="s">
        <v>87</v>
      </c>
    </row>
    <row r="310" spans="1:21" ht="15.75" thickTop="1" x14ac:dyDescent="0.25">
      <c r="A310" s="121"/>
      <c r="B310" s="141"/>
      <c r="C310" s="163"/>
      <c r="D310" s="247"/>
      <c r="E310" s="387" t="s">
        <v>94</v>
      </c>
      <c r="F310" s="663"/>
      <c r="G310" s="374" t="s">
        <v>90</v>
      </c>
      <c r="H310" s="380"/>
      <c r="I310" s="237" t="str">
        <f>S310</f>
        <v xml:space="preserve">*obligatorisk </v>
      </c>
      <c r="J310" s="362"/>
      <c r="K310" s="388"/>
      <c r="L310" s="388"/>
      <c r="M310" s="381"/>
      <c r="N310" s="141"/>
      <c r="O310" s="121"/>
      <c r="Q310" s="253" t="str">
        <f>E310</f>
        <v xml:space="preserve">arbeidsuker i tilskuddperioden </v>
      </c>
      <c r="R310" s="389">
        <f>F310</f>
        <v>0</v>
      </c>
      <c r="S310" s="253" t="str" cm="1">
        <f t="array" ref="S310">_xlfn.IFS(F310="",$R$7,TRUE,"")</f>
        <v xml:space="preserve">*obligatorisk </v>
      </c>
      <c r="T310" s="379" t="s">
        <v>87</v>
      </c>
      <c r="U310" s="210" t="s">
        <v>87</v>
      </c>
    </row>
    <row r="311" spans="1:21" ht="15.75" thickBot="1" x14ac:dyDescent="0.3">
      <c r="A311" s="121"/>
      <c r="B311" s="141"/>
      <c r="C311" s="163"/>
      <c r="D311" s="247"/>
      <c r="E311" s="387" t="s">
        <v>95</v>
      </c>
      <c r="F311" s="664">
        <f>R311</f>
        <v>0</v>
      </c>
      <c r="G311" s="185"/>
      <c r="H311" s="380"/>
      <c r="I311" s="237"/>
      <c r="J311" s="362"/>
      <c r="K311" s="362"/>
      <c r="L311" s="362"/>
      <c r="M311" s="381"/>
      <c r="N311" s="141"/>
      <c r="O311" s="121"/>
      <c r="Q311" s="253" t="str">
        <f>E311</f>
        <v xml:space="preserve">arbeidstimer totalt </v>
      </c>
      <c r="R311" s="389">
        <f>R309*R310</f>
        <v>0</v>
      </c>
      <c r="S311" s="253"/>
      <c r="T311" s="379" t="s">
        <v>87</v>
      </c>
      <c r="U311" s="210" t="s">
        <v>87</v>
      </c>
    </row>
    <row r="312" spans="1:21" ht="8.1" customHeight="1" thickTop="1" thickBot="1" x14ac:dyDescent="0.3">
      <c r="A312" s="121"/>
      <c r="B312" s="141"/>
      <c r="C312" s="163"/>
      <c r="D312" s="247"/>
      <c r="E312" s="249"/>
      <c r="F312" s="390"/>
      <c r="G312" s="185"/>
      <c r="H312" s="380"/>
      <c r="I312" s="237"/>
      <c r="J312" s="362"/>
      <c r="K312" s="362"/>
      <c r="L312" s="362"/>
      <c r="M312" s="381"/>
      <c r="N312" s="141"/>
      <c r="O312" s="121"/>
      <c r="Q312" s="391"/>
      <c r="R312" s="391"/>
      <c r="S312" s="391"/>
      <c r="T312" s="391"/>
      <c r="U312" s="210" t="s">
        <v>87</v>
      </c>
    </row>
    <row r="313" spans="1:21" ht="15.75" thickTop="1" x14ac:dyDescent="0.25">
      <c r="A313" s="121"/>
      <c r="B313" s="141"/>
      <c r="C313" s="163"/>
      <c r="D313" s="247"/>
      <c r="E313" s="384" t="str">
        <f>"Ubekvemstillegg for de "&amp;IF(F311=0,"timene:",F311&amp;" timene:")</f>
        <v>Ubekvemstillegg for de timene:</v>
      </c>
      <c r="F313" s="392"/>
      <c r="H313" s="380"/>
      <c r="I313" s="237"/>
      <c r="J313" s="362"/>
      <c r="K313" s="362"/>
      <c r="L313" s="362"/>
      <c r="M313" s="381"/>
      <c r="N313" s="141"/>
      <c r="O313" s="121"/>
      <c r="Q313" s="393" t="s">
        <v>96</v>
      </c>
      <c r="R313" s="394">
        <f>(R311-R314-R315)</f>
        <v>0</v>
      </c>
      <c r="S313" s="393"/>
      <c r="T313" s="395" t="e">
        <f>R313/R311</f>
        <v>#DIV/0!</v>
      </c>
      <c r="U313" s="210" t="s">
        <v>87</v>
      </c>
    </row>
    <row r="314" spans="1:21" ht="15.75" thickBot="1" x14ac:dyDescent="0.3">
      <c r="A314" s="121"/>
      <c r="B314" s="141"/>
      <c r="C314" s="163"/>
      <c r="D314" s="247"/>
      <c r="E314" s="396" t="s">
        <v>97</v>
      </c>
      <c r="F314" s="657">
        <v>0</v>
      </c>
      <c r="G314" s="374" t="s">
        <v>90</v>
      </c>
      <c r="H314" s="380"/>
      <c r="I314" s="237"/>
      <c r="J314" s="362"/>
      <c r="K314" s="362"/>
      <c r="L314" s="362"/>
      <c r="M314" s="381"/>
      <c r="N314" s="141"/>
      <c r="O314" s="121"/>
      <c r="Q314" s="253" t="str">
        <f>E314</f>
        <v>arbeidstimer kveld</v>
      </c>
      <c r="R314" s="389">
        <f>F314</f>
        <v>0</v>
      </c>
      <c r="S314" s="253"/>
      <c r="T314" s="397" t="e">
        <f>R314/R311</f>
        <v>#DIV/0!</v>
      </c>
      <c r="U314" s="210" t="s">
        <v>87</v>
      </c>
    </row>
    <row r="315" spans="1:21" ht="16.5" thickTop="1" thickBot="1" x14ac:dyDescent="0.3">
      <c r="A315" s="121"/>
      <c r="B315" s="141"/>
      <c r="C315" s="163"/>
      <c r="D315" s="247"/>
      <c r="E315" s="396" t="s">
        <v>98</v>
      </c>
      <c r="F315" s="658">
        <v>0</v>
      </c>
      <c r="G315" s="374" t="s">
        <v>90</v>
      </c>
      <c r="H315" s="380"/>
      <c r="I315" s="237"/>
      <c r="J315" s="362"/>
      <c r="K315" s="362"/>
      <c r="L315" s="362"/>
      <c r="M315" s="381"/>
      <c r="N315" s="141"/>
      <c r="O315" s="121"/>
      <c r="Q315" s="253" t="str">
        <f t="shared" ref="Q315" si="44">E315</f>
        <v>arbeidstimer natt</v>
      </c>
      <c r="R315" s="389">
        <f t="shared" ref="R315" si="45">F315</f>
        <v>0</v>
      </c>
      <c r="S315" s="253"/>
      <c r="T315" s="397" t="e">
        <f>R315/R311</f>
        <v>#DIV/0!</v>
      </c>
      <c r="U315" s="210" t="s">
        <v>87</v>
      </c>
    </row>
    <row r="316" spans="1:21" ht="8.1" customHeight="1" thickTop="1" x14ac:dyDescent="0.25">
      <c r="A316" s="121"/>
      <c r="B316" s="141"/>
      <c r="C316" s="163"/>
      <c r="D316" s="247"/>
      <c r="E316" s="249"/>
      <c r="F316" s="659"/>
      <c r="G316" s="185"/>
      <c r="H316" s="380"/>
      <c r="I316" s="237"/>
      <c r="J316" s="362"/>
      <c r="K316" s="362"/>
      <c r="L316" s="362"/>
      <c r="M316" s="381"/>
      <c r="N316" s="141"/>
      <c r="O316" s="121"/>
      <c r="Q316" s="391"/>
      <c r="R316" s="391"/>
      <c r="S316" s="391"/>
      <c r="T316" s="391"/>
      <c r="U316" s="210" t="s">
        <v>87</v>
      </c>
    </row>
    <row r="317" spans="1:21" ht="15.75" thickBot="1" x14ac:dyDescent="0.3">
      <c r="A317" s="121"/>
      <c r="B317" s="141"/>
      <c r="C317" s="163"/>
      <c r="D317" s="247"/>
      <c r="E317" s="396" t="s">
        <v>99</v>
      </c>
      <c r="F317" s="660">
        <v>0</v>
      </c>
      <c r="G317" s="374" t="s">
        <v>90</v>
      </c>
      <c r="H317" s="380"/>
      <c r="I317" s="237"/>
      <c r="J317" s="362"/>
      <c r="K317" s="362"/>
      <c r="L317" s="362"/>
      <c r="M317" s="381"/>
      <c r="N317" s="141"/>
      <c r="O317" s="121"/>
      <c r="Q317" s="393" t="str">
        <f t="shared" ref="Q317:Q319" si="46">E317</f>
        <v>arbeidstimer helg</v>
      </c>
      <c r="R317" s="394">
        <f t="shared" ref="R317:R319" si="47">F317</f>
        <v>0</v>
      </c>
      <c r="S317" s="393"/>
      <c r="T317" s="379" t="s">
        <v>87</v>
      </c>
      <c r="U317" s="210" t="s">
        <v>87</v>
      </c>
    </row>
    <row r="318" spans="1:21" ht="16.5" thickTop="1" thickBot="1" x14ac:dyDescent="0.3">
      <c r="A318" s="121"/>
      <c r="B318" s="141"/>
      <c r="C318" s="163"/>
      <c r="D318" s="247"/>
      <c r="E318" s="396" t="s">
        <v>100</v>
      </c>
      <c r="F318" s="661">
        <v>0</v>
      </c>
      <c r="G318" s="374" t="s">
        <v>90</v>
      </c>
      <c r="H318" s="380"/>
      <c r="I318" s="237"/>
      <c r="J318" s="362"/>
      <c r="K318" s="362"/>
      <c r="L318" s="362"/>
      <c r="M318" s="381"/>
      <c r="N318" s="141"/>
      <c r="O318" s="121"/>
      <c r="Q318" s="253" t="str">
        <f t="shared" si="46"/>
        <v>arbeidstimer helligdag</v>
      </c>
      <c r="R318" s="389">
        <f t="shared" si="47"/>
        <v>0</v>
      </c>
      <c r="S318" s="253"/>
      <c r="T318" s="379" t="s">
        <v>87</v>
      </c>
      <c r="U318" s="210" t="s">
        <v>87</v>
      </c>
    </row>
    <row r="319" spans="1:21" ht="15.75" thickTop="1" x14ac:dyDescent="0.25">
      <c r="A319" s="121"/>
      <c r="B319" s="141"/>
      <c r="C319" s="163"/>
      <c r="D319" s="247"/>
      <c r="E319" s="396" t="s">
        <v>101</v>
      </c>
      <c r="F319" s="661">
        <v>0</v>
      </c>
      <c r="G319" s="374" t="s">
        <v>90</v>
      </c>
      <c r="H319" s="380"/>
      <c r="I319" s="237"/>
      <c r="J319" s="362"/>
      <c r="K319" s="362"/>
      <c r="L319" s="362"/>
      <c r="M319" s="381"/>
      <c r="N319" s="141"/>
      <c r="O319" s="121"/>
      <c r="Q319" s="253" t="str">
        <f t="shared" si="46"/>
        <v>arbeidstimer helligdag helg</v>
      </c>
      <c r="R319" s="389">
        <f t="shared" si="47"/>
        <v>0</v>
      </c>
      <c r="S319" s="253"/>
      <c r="T319" s="379" t="s">
        <v>87</v>
      </c>
      <c r="U319" s="210" t="s">
        <v>87</v>
      </c>
    </row>
    <row r="320" spans="1:21" x14ac:dyDescent="0.25">
      <c r="A320" s="121"/>
      <c r="B320" s="141"/>
      <c r="C320" s="163"/>
      <c r="D320" s="256"/>
      <c r="E320" s="398"/>
      <c r="F320" s="398"/>
      <c r="G320" s="399"/>
      <c r="H320" s="400"/>
      <c r="I320" s="237"/>
      <c r="J320" s="362"/>
      <c r="K320" s="362"/>
      <c r="L320" s="362"/>
      <c r="M320" s="381"/>
      <c r="N320" s="141"/>
      <c r="O320" s="121"/>
      <c r="Q320" s="353"/>
      <c r="R320" s="353"/>
      <c r="S320" s="353"/>
      <c r="T320" s="353"/>
      <c r="U320" s="210" t="s">
        <v>87</v>
      </c>
    </row>
    <row r="321" spans="1:23" ht="8.1" customHeight="1" x14ac:dyDescent="0.25">
      <c r="A321" s="121"/>
      <c r="B321" s="141"/>
      <c r="C321" s="163"/>
      <c r="D321" s="164"/>
      <c r="E321" s="382"/>
      <c r="F321" s="382"/>
      <c r="G321" s="401"/>
      <c r="H321" s="382"/>
      <c r="I321" s="237"/>
      <c r="J321" s="362"/>
      <c r="K321" s="362"/>
      <c r="L321" s="362"/>
      <c r="M321" s="381"/>
      <c r="N321" s="141"/>
      <c r="O321" s="121"/>
      <c r="Q321" s="402"/>
      <c r="R321" s="402"/>
      <c r="S321" s="402"/>
      <c r="T321" s="402"/>
      <c r="U321" s="210" t="s">
        <v>87</v>
      </c>
    </row>
    <row r="322" spans="1:23" ht="30" customHeight="1" x14ac:dyDescent="0.35">
      <c r="A322" s="355"/>
      <c r="B322" s="356"/>
      <c r="C322" s="357"/>
      <c r="D322" s="358" t="s">
        <v>102</v>
      </c>
      <c r="E322" s="359"/>
      <c r="F322" s="360"/>
      <c r="G322" s="359"/>
      <c r="H322" s="361"/>
      <c r="I322" s="403"/>
      <c r="J322" s="403"/>
      <c r="K322" s="363"/>
      <c r="L322" s="363"/>
      <c r="M322" s="364"/>
      <c r="N322" s="356"/>
      <c r="O322" s="355"/>
      <c r="P322" s="363"/>
      <c r="Q322" s="365"/>
      <c r="R322" s="365"/>
      <c r="S322" s="365"/>
      <c r="T322" s="365"/>
      <c r="U322" s="210" t="s">
        <v>87</v>
      </c>
      <c r="W322" s="363"/>
    </row>
    <row r="323" spans="1:23" ht="8.1" customHeight="1" x14ac:dyDescent="0.25">
      <c r="A323" s="121"/>
      <c r="B323" s="158"/>
      <c r="C323" s="366"/>
      <c r="D323" s="404"/>
      <c r="E323" s="405"/>
      <c r="F323" s="368"/>
      <c r="G323" s="219"/>
      <c r="H323" s="369"/>
      <c r="I323" s="237"/>
      <c r="J323" s="576"/>
      <c r="K323" s="219"/>
      <c r="L323" s="219"/>
      <c r="M323" s="371"/>
      <c r="N323" s="158"/>
      <c r="O323" s="121"/>
      <c r="P323" s="219"/>
      <c r="Q323" s="402"/>
      <c r="R323" s="402"/>
      <c r="S323" s="402"/>
      <c r="T323" s="402"/>
      <c r="U323" s="210" t="s">
        <v>87</v>
      </c>
      <c r="V323" s="354"/>
      <c r="W323" s="219"/>
    </row>
    <row r="324" spans="1:23" ht="15.75" thickBot="1" x14ac:dyDescent="0.3">
      <c r="A324" s="121"/>
      <c r="B324" s="141"/>
      <c r="C324" s="163"/>
      <c r="D324" s="247"/>
      <c r="E324" s="373" t="s">
        <v>103</v>
      </c>
      <c r="F324" s="651"/>
      <c r="G324" s="374" t="s">
        <v>90</v>
      </c>
      <c r="H324" s="380"/>
      <c r="I324" s="237" t="str">
        <f t="shared" ref="I324:I325" si="48">S324</f>
        <v xml:space="preserve">*obligatorisk </v>
      </c>
      <c r="J324" s="362"/>
      <c r="K324" s="362"/>
      <c r="L324" s="362"/>
      <c r="M324" s="381"/>
      <c r="N324" s="141"/>
      <c r="O324" s="121"/>
      <c r="P324" s="575" t="str">
        <f>P302&amp;"b"</f>
        <v>5b</v>
      </c>
      <c r="Q324" s="253" t="s">
        <v>104</v>
      </c>
      <c r="R324" s="406"/>
      <c r="S324" s="253" t="str" cm="1">
        <f t="array" ref="S324">_xlfn.IFS(F324="",$R$7,TRUE,"")</f>
        <v xml:space="preserve">*obligatorisk </v>
      </c>
      <c r="T324" s="379" t="s">
        <v>87</v>
      </c>
      <c r="U324" s="210" t="s">
        <v>87</v>
      </c>
    </row>
    <row r="325" spans="1:23" ht="15.75" thickTop="1" x14ac:dyDescent="0.25">
      <c r="A325" s="121"/>
      <c r="B325" s="141"/>
      <c r="C325" s="163"/>
      <c r="D325" s="247"/>
      <c r="E325" s="373" t="s">
        <v>105</v>
      </c>
      <c r="F325" s="652" t="s">
        <v>129</v>
      </c>
      <c r="G325" s="374" t="s">
        <v>90</v>
      </c>
      <c r="H325" s="380"/>
      <c r="I325" s="237" t="str">
        <f t="shared" si="48"/>
        <v xml:space="preserve">*obligatorisk </v>
      </c>
      <c r="J325" s="407"/>
      <c r="K325" s="408"/>
      <c r="L325" s="408"/>
      <c r="M325" s="381"/>
      <c r="N325" s="141"/>
      <c r="O325" s="121"/>
      <c r="Q325" s="253" t="str">
        <f>E325</f>
        <v>alminnelig arbeidstid for full stilling</v>
      </c>
      <c r="R325" s="389">
        <f>_xlfn.XLOOKUP(F325,Innstillinger!$B$48:$B$53,Innstillinger!$C$48:$C$53,0,)</f>
        <v>0</v>
      </c>
      <c r="S325" s="253" t="str" cm="1">
        <f t="array" ref="S325">_xlfn.IFS(F325="",$R$7,F325=Innstillinger!$B$8,$R$7,TRUE,"")</f>
        <v xml:space="preserve">*obligatorisk </v>
      </c>
      <c r="T325" s="379" t="s">
        <v>87</v>
      </c>
      <c r="U325" s="210" t="s">
        <v>87</v>
      </c>
    </row>
    <row r="326" spans="1:23" ht="8.1" customHeight="1" x14ac:dyDescent="0.25">
      <c r="A326" s="121"/>
      <c r="B326" s="158"/>
      <c r="C326" s="366"/>
      <c r="D326" s="404"/>
      <c r="E326" s="405"/>
      <c r="F326" s="368"/>
      <c r="G326" s="219"/>
      <c r="H326" s="369"/>
      <c r="I326" s="237"/>
      <c r="J326" s="576"/>
      <c r="K326" s="219"/>
      <c r="L326" s="219"/>
      <c r="M326" s="371"/>
      <c r="N326" s="158"/>
      <c r="O326" s="121"/>
      <c r="P326" s="219"/>
      <c r="Q326" s="402"/>
      <c r="R326" s="402"/>
      <c r="S326" s="402"/>
      <c r="T326" s="402"/>
      <c r="U326" s="210" t="s">
        <v>87</v>
      </c>
      <c r="V326" s="354"/>
      <c r="W326" s="219"/>
    </row>
    <row r="327" spans="1:23" x14ac:dyDescent="0.25">
      <c r="A327" s="121"/>
      <c r="B327" s="141"/>
      <c r="C327" s="163"/>
      <c r="D327" s="247"/>
      <c r="E327" s="384" t="s">
        <v>107</v>
      </c>
      <c r="F327" s="409"/>
      <c r="G327" s="374"/>
      <c r="H327" s="380"/>
      <c r="I327" s="237"/>
      <c r="J327" s="362"/>
      <c r="K327" s="362"/>
      <c r="L327" s="362"/>
      <c r="M327" s="381"/>
      <c r="N327" s="141"/>
      <c r="O327" s="121"/>
      <c r="Q327" s="410"/>
      <c r="R327" s="411"/>
      <c r="S327" s="410"/>
      <c r="T327" s="410"/>
      <c r="U327" s="210" t="s">
        <v>87</v>
      </c>
    </row>
    <row r="328" spans="1:23" ht="15.75" thickBot="1" x14ac:dyDescent="0.3">
      <c r="A328" s="121"/>
      <c r="B328" s="141"/>
      <c r="C328" s="163"/>
      <c r="D328" s="247"/>
      <c r="E328" s="373" t="s">
        <v>108</v>
      </c>
      <c r="F328" s="653"/>
      <c r="G328" s="374" t="s">
        <v>90</v>
      </c>
      <c r="H328" s="380"/>
      <c r="I328" s="237" t="str">
        <f>S328</f>
        <v xml:space="preserve">*obligatorisk </v>
      </c>
      <c r="J328" s="362"/>
      <c r="K328" s="386"/>
      <c r="L328" s="386"/>
      <c r="M328" s="381"/>
      <c r="N328" s="141"/>
      <c r="O328" s="121"/>
      <c r="Q328" s="253" t="str">
        <f>E328</f>
        <v>årslønn for full stilling</v>
      </c>
      <c r="R328" s="412">
        <f>F328</f>
        <v>0</v>
      </c>
      <c r="S328" s="253" t="str" cm="1">
        <f t="array" ref="S328">_xlfn.IFS(R328=0,$R$7,ISERROR(R343)=TRUE,"",R343&gt;$R$5,$R$9,TRUE,"")</f>
        <v xml:space="preserve">*obligatorisk </v>
      </c>
      <c r="T328" s="379" t="s">
        <v>87</v>
      </c>
      <c r="U328" s="210" t="s">
        <v>87</v>
      </c>
    </row>
    <row r="329" spans="1:23" ht="16.5" thickTop="1" thickBot="1" x14ac:dyDescent="0.3">
      <c r="A329" s="121"/>
      <c r="B329" s="141"/>
      <c r="C329" s="163"/>
      <c r="D329" s="247"/>
      <c r="E329" s="413" t="s">
        <v>109</v>
      </c>
      <c r="F329" s="654">
        <v>0</v>
      </c>
      <c r="G329" s="374" t="s">
        <v>90</v>
      </c>
      <c r="H329" s="380"/>
      <c r="I329" s="237" t="str">
        <f t="shared" ref="I329" si="49">S329</f>
        <v/>
      </c>
      <c r="J329" s="362"/>
      <c r="K329" s="386"/>
      <c r="L329" s="386"/>
      <c r="M329" s="381"/>
      <c r="N329" s="141"/>
      <c r="O329" s="121"/>
      <c r="Q329" s="253" t="str">
        <f t="shared" ref="Q329:Q332" si="50">E329</f>
        <v xml:space="preserve">timetillegg kveld </v>
      </c>
      <c r="R329" s="412">
        <f>F329</f>
        <v>0</v>
      </c>
      <c r="S329" s="253" t="str" cm="1">
        <f t="array" ref="S329">_xlfn.IFS(AND(R314&gt;0,R329=0),$R$7,TRUE,"")</f>
        <v/>
      </c>
      <c r="T329" s="414">
        <f>R329*R314</f>
        <v>0</v>
      </c>
      <c r="U329" s="210" t="s">
        <v>87</v>
      </c>
    </row>
    <row r="330" spans="1:23" ht="16.5" thickTop="1" thickBot="1" x14ac:dyDescent="0.3">
      <c r="A330" s="121"/>
      <c r="B330" s="141"/>
      <c r="C330" s="163"/>
      <c r="D330" s="247"/>
      <c r="E330" s="413" t="s">
        <v>110</v>
      </c>
      <c r="F330" s="655">
        <v>0</v>
      </c>
      <c r="G330" s="374" t="s">
        <v>90</v>
      </c>
      <c r="H330" s="380"/>
      <c r="I330" s="237" t="str">
        <f>S330</f>
        <v/>
      </c>
      <c r="J330" s="362"/>
      <c r="K330" s="386"/>
      <c r="L330" s="386"/>
      <c r="M330" s="381"/>
      <c r="N330" s="141"/>
      <c r="O330" s="121"/>
      <c r="Q330" s="253" t="str">
        <f t="shared" si="50"/>
        <v xml:space="preserve">timetillegg natt </v>
      </c>
      <c r="R330" s="412">
        <f t="shared" ref="R330:R331" si="51">F330</f>
        <v>0</v>
      </c>
      <c r="S330" s="253" t="str" cm="1">
        <f t="array" ref="S330">_xlfn.IFS(AND(R315&gt;0,R330=0),$R$7,TRUE,"")</f>
        <v/>
      </c>
      <c r="T330" s="414">
        <f>R330*R315</f>
        <v>0</v>
      </c>
      <c r="U330" s="210" t="s">
        <v>87</v>
      </c>
    </row>
    <row r="331" spans="1:23" ht="16.5" thickTop="1" thickBot="1" x14ac:dyDescent="0.3">
      <c r="A331" s="121"/>
      <c r="B331" s="141"/>
      <c r="C331" s="163"/>
      <c r="D331" s="247"/>
      <c r="E331" s="413" t="s">
        <v>111</v>
      </c>
      <c r="F331" s="654">
        <v>0</v>
      </c>
      <c r="G331" s="374" t="s">
        <v>90</v>
      </c>
      <c r="H331" s="380"/>
      <c r="I331" s="237" t="str">
        <f>S331</f>
        <v/>
      </c>
      <c r="J331" s="362"/>
      <c r="K331" s="386"/>
      <c r="L331" s="386"/>
      <c r="M331" s="381"/>
      <c r="N331" s="141"/>
      <c r="O331" s="121"/>
      <c r="Q331" s="253" t="str">
        <f t="shared" si="50"/>
        <v>timetillegg helg</v>
      </c>
      <c r="R331" s="412">
        <f t="shared" si="51"/>
        <v>0</v>
      </c>
      <c r="S331" s="253" t="str" cm="1">
        <f t="array" ref="S331">_xlfn.IFS(AND(R317&gt;0,R331=0),$R$7,TRUE,"")</f>
        <v/>
      </c>
      <c r="T331" s="414">
        <f>R331*R317</f>
        <v>0</v>
      </c>
      <c r="U331" s="210" t="s">
        <v>87</v>
      </c>
    </row>
    <row r="332" spans="1:23" ht="15.75" thickTop="1" x14ac:dyDescent="0.25">
      <c r="A332" s="121"/>
      <c r="B332" s="141"/>
      <c r="C332" s="163"/>
      <c r="D332" s="247"/>
      <c r="E332" s="413" t="s">
        <v>112</v>
      </c>
      <c r="F332" s="656">
        <v>0</v>
      </c>
      <c r="G332" s="374" t="s">
        <v>90</v>
      </c>
      <c r="H332" s="380"/>
      <c r="I332" s="237" t="str">
        <f>S332</f>
        <v/>
      </c>
      <c r="J332" s="362"/>
      <c r="K332" s="386"/>
      <c r="L332" s="386"/>
      <c r="M332" s="381"/>
      <c r="N332" s="141"/>
      <c r="O332" s="121"/>
      <c r="Q332" s="253" t="str">
        <f t="shared" si="50"/>
        <v>prosenttillegg helligdag</v>
      </c>
      <c r="R332" s="415">
        <f>F332</f>
        <v>0</v>
      </c>
      <c r="S332" s="253" t="str" cm="1">
        <f t="array" ref="S332">_xlfn.IFS(AND(OR(R318&gt;0,R319&gt;0),R332=0),$R$7,TRUE,"")</f>
        <v/>
      </c>
      <c r="T332" s="414" t="e">
        <f>((R332*R318*T313*R341)+(R332*R318*T314*(R341+R329))+(R332*R318*T315*(R341+R330)))+((R332*R319*T313*(R341+R331))+(R332*R319*T314*(R341+R329+R331))+(R332*R319*T315*(R341+R330+R331)))</f>
        <v>#DIV/0!</v>
      </c>
      <c r="U332" s="210" t="s">
        <v>87</v>
      </c>
      <c r="V332" s="416"/>
    </row>
    <row r="333" spans="1:23" x14ac:dyDescent="0.25">
      <c r="A333" s="121"/>
      <c r="B333" s="141"/>
      <c r="C333" s="163"/>
      <c r="D333" s="247"/>
      <c r="E333" s="417" t="s">
        <v>113</v>
      </c>
      <c r="F333" s="418"/>
      <c r="G333" s="419"/>
      <c r="H333" s="380"/>
      <c r="I333" s="420"/>
      <c r="J333" s="407"/>
      <c r="K333" s="407"/>
      <c r="L333" s="407"/>
      <c r="M333" s="381"/>
      <c r="N333" s="141"/>
      <c r="O333" s="121"/>
      <c r="Q333" s="402"/>
      <c r="R333" s="402"/>
      <c r="S333" s="402"/>
      <c r="T333" s="402"/>
      <c r="U333" s="210" t="s">
        <v>87</v>
      </c>
    </row>
    <row r="334" spans="1:23" ht="8.1" customHeight="1" thickBot="1" x14ac:dyDescent="0.3">
      <c r="A334" s="121"/>
      <c r="B334" s="141"/>
      <c r="C334" s="163"/>
      <c r="D334" s="247"/>
      <c r="E334" s="249"/>
      <c r="F334" s="390"/>
      <c r="G334" s="185"/>
      <c r="H334" s="380"/>
      <c r="I334" s="386"/>
      <c r="J334" s="362"/>
      <c r="K334" s="362"/>
      <c r="L334" s="362"/>
      <c r="M334" s="381"/>
      <c r="N334" s="141"/>
      <c r="O334" s="121"/>
      <c r="Q334" s="402"/>
      <c r="R334" s="402"/>
      <c r="S334" s="402"/>
      <c r="T334" s="402"/>
      <c r="U334" s="210" t="s">
        <v>87</v>
      </c>
    </row>
    <row r="335" spans="1:23" ht="15.75" thickTop="1" x14ac:dyDescent="0.25">
      <c r="A335" s="121"/>
      <c r="B335" s="141"/>
      <c r="C335" s="163"/>
      <c r="D335" s="247"/>
      <c r="E335" s="384" t="s">
        <v>114</v>
      </c>
      <c r="F335" s="409"/>
      <c r="G335" s="374"/>
      <c r="H335" s="380"/>
      <c r="I335" s="386"/>
      <c r="J335" s="362"/>
      <c r="K335" s="362"/>
      <c r="L335" s="362"/>
      <c r="M335" s="381"/>
      <c r="N335" s="141"/>
      <c r="O335" s="121"/>
      <c r="Q335" s="410"/>
      <c r="R335" s="411"/>
      <c r="S335" s="410"/>
      <c r="T335" s="410"/>
      <c r="U335" s="210" t="s">
        <v>87</v>
      </c>
    </row>
    <row r="336" spans="1:23" ht="15.75" thickBot="1" x14ac:dyDescent="0.3">
      <c r="A336" s="121"/>
      <c r="B336" s="141"/>
      <c r="C336" s="163"/>
      <c r="D336" s="247"/>
      <c r="E336" s="373" t="s">
        <v>115</v>
      </c>
      <c r="F336" s="643" t="s">
        <v>129</v>
      </c>
      <c r="G336" s="374" t="s">
        <v>90</v>
      </c>
      <c r="H336" s="380"/>
      <c r="I336" s="237" t="str">
        <f t="shared" ref="I336" si="52">S336</f>
        <v xml:space="preserve">*obligatorisk </v>
      </c>
      <c r="J336" s="421"/>
      <c r="K336" s="421"/>
      <c r="L336" s="421"/>
      <c r="M336" s="381"/>
      <c r="N336" s="141"/>
      <c r="O336" s="121"/>
      <c r="Q336" s="253" t="str">
        <f>E336</f>
        <v>sats feriepenger</v>
      </c>
      <c r="R336" s="422" t="str">
        <f>F336</f>
        <v>Velg fra liste….</v>
      </c>
      <c r="S336" s="253" t="str" cm="1">
        <f t="array" ref="S336">_xlfn.IFS(F336="",$R$7,F336=Innstillinger!$B$8,$R$7,TRUE,"")</f>
        <v xml:space="preserve">*obligatorisk </v>
      </c>
      <c r="T336" s="379" t="s">
        <v>87</v>
      </c>
      <c r="U336" s="210" t="s">
        <v>87</v>
      </c>
    </row>
    <row r="337" spans="1:23" ht="16.5" thickTop="1" thickBot="1" x14ac:dyDescent="0.3">
      <c r="A337" s="121"/>
      <c r="B337" s="141"/>
      <c r="C337" s="163"/>
      <c r="D337" s="247"/>
      <c r="E337" s="373" t="s">
        <v>116</v>
      </c>
      <c r="F337" s="648">
        <v>0.11</v>
      </c>
      <c r="G337" s="374" t="s">
        <v>90</v>
      </c>
      <c r="H337" s="573"/>
      <c r="I337" s="237"/>
      <c r="J337" s="362"/>
      <c r="K337" s="423"/>
      <c r="L337" s="423"/>
      <c r="M337" s="381"/>
      <c r="N337" s="141"/>
      <c r="O337" s="121"/>
      <c r="Q337" s="253" t="str">
        <f>E337</f>
        <v>sats pensjon</v>
      </c>
      <c r="R337" s="422">
        <f>F337+F338</f>
        <v>0.09</v>
      </c>
      <c r="S337" s="253"/>
      <c r="T337" s="379" t="s">
        <v>87</v>
      </c>
      <c r="U337" s="210" t="s">
        <v>87</v>
      </c>
    </row>
    <row r="338" spans="1:23" ht="16.5" thickTop="1" thickBot="1" x14ac:dyDescent="0.3">
      <c r="A338" s="121"/>
      <c r="B338" s="141"/>
      <c r="C338" s="163"/>
      <c r="D338" s="247"/>
      <c r="E338" s="413" t="s">
        <v>279</v>
      </c>
      <c r="F338" s="666">
        <v>-0.02</v>
      </c>
      <c r="G338" s="374" t="s">
        <v>90</v>
      </c>
      <c r="H338" s="573"/>
      <c r="I338" s="237" t="str">
        <f t="shared" ref="I338:I339" si="53">S338</f>
        <v/>
      </c>
      <c r="J338" s="362"/>
      <c r="K338" s="423"/>
      <c r="L338" s="423"/>
      <c r="M338" s="381"/>
      <c r="N338" s="141"/>
      <c r="O338" s="121"/>
      <c r="Q338" s="253"/>
      <c r="R338" s="422"/>
      <c r="S338" s="253" t="str" cm="1">
        <f t="array" ref="S338">_xlfn.IFS(F338=0%,$R$9,TRUE,"")</f>
        <v/>
      </c>
      <c r="T338" s="379"/>
    </row>
    <row r="339" spans="1:23" ht="15.75" thickTop="1" x14ac:dyDescent="0.25">
      <c r="A339" s="121"/>
      <c r="B339" s="141"/>
      <c r="C339" s="163"/>
      <c r="D339" s="247"/>
      <c r="E339" s="424" t="s">
        <v>117</v>
      </c>
      <c r="F339" s="644" t="s">
        <v>129</v>
      </c>
      <c r="G339" s="374" t="s">
        <v>90</v>
      </c>
      <c r="H339" s="380"/>
      <c r="I339" s="237" t="str">
        <f t="shared" si="53"/>
        <v xml:space="preserve">*obligatorisk </v>
      </c>
      <c r="J339" s="423"/>
      <c r="K339" s="237"/>
      <c r="L339" s="237"/>
      <c r="M339" s="381"/>
      <c r="N339" s="141"/>
      <c r="O339" s="121"/>
      <c r="Q339" s="253" t="str">
        <f>E339</f>
        <v>sats arbeidsgiveravgift</v>
      </c>
      <c r="R339" s="422" t="str">
        <f>F339</f>
        <v>Velg fra liste….</v>
      </c>
      <c r="S339" s="253" t="str" cm="1">
        <f t="array" ref="S339">_xlfn.IFS(F339="",$R$7,F339=Innstillinger!$B$8,$R$7,TRUE,"")</f>
        <v xml:space="preserve">*obligatorisk </v>
      </c>
      <c r="T339" s="379" t="s">
        <v>87</v>
      </c>
      <c r="U339" s="210" t="s">
        <v>87</v>
      </c>
    </row>
    <row r="340" spans="1:23" x14ac:dyDescent="0.25">
      <c r="A340" s="121"/>
      <c r="B340" s="141"/>
      <c r="C340" s="163"/>
      <c r="D340" s="247"/>
      <c r="E340" s="417" t="s">
        <v>118</v>
      </c>
      <c r="F340" s="418"/>
      <c r="G340" s="419"/>
      <c r="H340" s="380"/>
      <c r="I340" s="425"/>
      <c r="J340" s="407"/>
      <c r="K340" s="407"/>
      <c r="L340" s="407"/>
      <c r="M340" s="381"/>
      <c r="N340" s="141"/>
      <c r="O340" s="121"/>
      <c r="Q340" s="426" t="s">
        <v>119</v>
      </c>
      <c r="R340" s="427" t="str" cm="1">
        <f t="array" ref="R340">_xlfn.IFS(ISERROR(R354),"Nei",COUNTIF(I303:I339,$R$7)=0,"Ja",TRUE,"Nei")</f>
        <v>Nei</v>
      </c>
      <c r="S340" s="353"/>
      <c r="T340" s="353"/>
      <c r="U340" s="210" t="s">
        <v>87</v>
      </c>
      <c r="V340" s="210" t="s">
        <v>87</v>
      </c>
    </row>
    <row r="341" spans="1:23" ht="8.1" customHeight="1" x14ac:dyDescent="0.25">
      <c r="A341" s="121"/>
      <c r="B341" s="141"/>
      <c r="C341" s="163"/>
      <c r="D341" s="247"/>
      <c r="E341" s="249"/>
      <c r="F341" s="392"/>
      <c r="G341" s="185"/>
      <c r="H341" s="380"/>
      <c r="I341" s="425"/>
      <c r="J341" s="362"/>
      <c r="K341" s="362"/>
      <c r="L341" s="362"/>
      <c r="M341" s="381"/>
      <c r="N341" s="141"/>
      <c r="O341" s="121"/>
      <c r="Q341" s="372"/>
      <c r="R341" s="372"/>
      <c r="S341" s="372"/>
      <c r="T341" s="372"/>
      <c r="U341" s="210" t="s">
        <v>87</v>
      </c>
      <c r="V341" s="210" t="s">
        <v>87</v>
      </c>
    </row>
    <row r="342" spans="1:23" ht="15.75" thickBot="1" x14ac:dyDescent="0.3">
      <c r="A342" s="121"/>
      <c r="B342" s="141"/>
      <c r="C342" s="163"/>
      <c r="D342" s="247"/>
      <c r="E342" s="373" t="s">
        <v>120</v>
      </c>
      <c r="F342" s="428" t="str">
        <f>IF(R340="nei","",R342)</f>
        <v/>
      </c>
      <c r="G342" s="429"/>
      <c r="H342" s="380"/>
      <c r="I342" s="425" t="str">
        <f>S342</f>
        <v/>
      </c>
      <c r="J342" s="430"/>
      <c r="K342" s="430"/>
      <c r="L342" s="430"/>
      <c r="M342" s="381"/>
      <c r="N342" s="141"/>
      <c r="O342" s="121"/>
      <c r="P342" s="431"/>
      <c r="Q342" s="253" t="s">
        <v>43</v>
      </c>
      <c r="R342" s="432" t="e">
        <f>R328/R325/52</f>
        <v>#DIV/0!</v>
      </c>
      <c r="S342" s="253" t="str" cm="1">
        <f t="array" ref="S342">_xlfn.IFS(AND(I354=TRUE,R340="NEI"),$R$10,I354=TRUE,T342,TRUE,"")</f>
        <v/>
      </c>
      <c r="T342" s="433" t="e">
        <f>"➡️ "&amp;TEXT(R342,"# ##0")&amp;" kr =  "&amp;TEXT(R328,"# ##0")&amp;" kr årslønnn ÷  "&amp;TEXT(R325,"#,##")&amp;" timer/uke  ÷  52 uker"</f>
        <v>#DIV/0!</v>
      </c>
      <c r="U342" s="210" t="s">
        <v>87</v>
      </c>
    </row>
    <row r="343" spans="1:23" ht="15.75" thickTop="1" x14ac:dyDescent="0.25">
      <c r="A343" s="121"/>
      <c r="B343" s="141"/>
      <c r="C343" s="163"/>
      <c r="D343" s="247"/>
      <c r="E343" s="373" t="s">
        <v>121</v>
      </c>
      <c r="F343" s="434" t="str">
        <f>IF(R340="nei","",R343)</f>
        <v/>
      </c>
      <c r="G343" s="429"/>
      <c r="H343" s="380"/>
      <c r="I343" s="425" t="str">
        <f>S343</f>
        <v/>
      </c>
      <c r="J343" s="435"/>
      <c r="K343" s="435"/>
      <c r="L343" s="435"/>
      <c r="M343" s="381"/>
      <c r="N343" s="141"/>
      <c r="O343" s="121"/>
      <c r="Q343" s="253" t="s">
        <v>121</v>
      </c>
      <c r="R343" s="412" t="e">
        <f>(R342*(1+R336+R337+(R336*R337))*(1+R339))</f>
        <v>#DIV/0!</v>
      </c>
      <c r="S343" s="253" t="str" cm="1">
        <f t="array" ref="S343">_xlfn.IFS(AND(I354=TRUE,R340="NEI"),$R$10,I354=TRUE,T343,TRUE,"")</f>
        <v/>
      </c>
      <c r="T343" s="433" t="e">
        <f>"➡️ "&amp;TEXT(R343,"# ##0")&amp;" kr =  "&amp;TEXT(R342,"# ##0,00")&amp;" kr timelønn, uten sosiale utgifter x  sosiale utgifter"</f>
        <v>#DIV/0!</v>
      </c>
      <c r="U343" s="210" t="s">
        <v>87</v>
      </c>
    </row>
    <row r="344" spans="1:23" x14ac:dyDescent="0.25">
      <c r="A344" s="121"/>
      <c r="B344" s="141"/>
      <c r="C344" s="163"/>
      <c r="D344" s="256"/>
      <c r="E344" s="398"/>
      <c r="F344" s="398"/>
      <c r="G344" s="399"/>
      <c r="H344" s="400"/>
      <c r="I344" s="425"/>
      <c r="J344" s="362"/>
      <c r="K344" s="423"/>
      <c r="L344" s="423"/>
      <c r="M344" s="381"/>
      <c r="N344" s="141"/>
      <c r="O344" s="121"/>
      <c r="Q344" s="402"/>
      <c r="R344" s="402"/>
      <c r="S344" s="402"/>
      <c r="T344" s="402"/>
      <c r="U344" s="210" t="s">
        <v>87</v>
      </c>
    </row>
    <row r="345" spans="1:23" ht="8.1" customHeight="1" x14ac:dyDescent="0.25">
      <c r="A345" s="121"/>
      <c r="B345" s="141"/>
      <c r="C345" s="163"/>
      <c r="D345" s="164"/>
      <c r="E345" s="382"/>
      <c r="F345" s="382"/>
      <c r="G345" s="401"/>
      <c r="H345" s="382"/>
      <c r="I345" s="425"/>
      <c r="J345" s="362"/>
      <c r="K345" s="362"/>
      <c r="L345" s="362"/>
      <c r="M345" s="381"/>
      <c r="N345" s="141"/>
      <c r="O345" s="121"/>
      <c r="Q345" s="402"/>
      <c r="R345" s="402"/>
      <c r="S345" s="402"/>
      <c r="T345" s="402"/>
      <c r="U345" s="210" t="s">
        <v>87</v>
      </c>
    </row>
    <row r="346" spans="1:23" ht="30" customHeight="1" x14ac:dyDescent="0.35">
      <c r="A346" s="355"/>
      <c r="B346" s="356"/>
      <c r="C346" s="357"/>
      <c r="D346" s="358" t="s">
        <v>10</v>
      </c>
      <c r="E346" s="359"/>
      <c r="F346" s="360"/>
      <c r="G346" s="359"/>
      <c r="H346" s="361"/>
      <c r="I346" s="436"/>
      <c r="J346" s="363"/>
      <c r="K346" s="363"/>
      <c r="L346" s="363"/>
      <c r="M346" s="364"/>
      <c r="N346" s="356"/>
      <c r="O346" s="355"/>
      <c r="P346" s="363"/>
      <c r="Q346" s="365"/>
      <c r="R346" s="365"/>
      <c r="S346" s="365"/>
      <c r="T346" s="365"/>
      <c r="U346" s="210" t="s">
        <v>87</v>
      </c>
      <c r="W346" s="363"/>
    </row>
    <row r="347" spans="1:23" ht="8.1" customHeight="1" x14ac:dyDescent="0.25">
      <c r="A347" s="121"/>
      <c r="B347" s="158"/>
      <c r="C347" s="366"/>
      <c r="D347" s="404"/>
      <c r="E347" s="405"/>
      <c r="F347" s="368"/>
      <c r="G347" s="219"/>
      <c r="H347" s="369"/>
      <c r="I347" s="370"/>
      <c r="J347" s="219"/>
      <c r="K347" s="219"/>
      <c r="L347" s="219"/>
      <c r="M347" s="371"/>
      <c r="N347" s="158"/>
      <c r="O347" s="121"/>
      <c r="P347" s="219"/>
      <c r="Q347" s="402"/>
      <c r="R347" s="402"/>
      <c r="S347" s="402"/>
      <c r="T347" s="402"/>
      <c r="U347" s="210" t="s">
        <v>87</v>
      </c>
      <c r="V347" s="354"/>
      <c r="W347" s="219"/>
    </row>
    <row r="348" spans="1:23" ht="15.75" thickBot="1" x14ac:dyDescent="0.3">
      <c r="A348" s="121"/>
      <c r="B348" s="141"/>
      <c r="C348" s="163"/>
      <c r="D348" s="247"/>
      <c r="E348" s="382" t="s">
        <v>122</v>
      </c>
      <c r="F348" s="437" t="str">
        <f>IF(R340="nei","",R348)</f>
        <v/>
      </c>
      <c r="G348" s="438"/>
      <c r="H348" s="380"/>
      <c r="I348" s="425" t="str">
        <f t="shared" ref="I348:I352" si="54">S348</f>
        <v/>
      </c>
      <c r="J348" s="439"/>
      <c r="K348" s="439"/>
      <c r="L348" s="439"/>
      <c r="M348" s="381"/>
      <c r="N348" s="141"/>
      <c r="O348" s="121"/>
      <c r="P348" s="440"/>
      <c r="Q348" s="253" t="s">
        <v>122</v>
      </c>
      <c r="R348" s="441" t="e">
        <f>R311*R342</f>
        <v>#DIV/0!</v>
      </c>
      <c r="S348" s="253" t="str" cm="1">
        <f t="array" ref="S348">_xlfn.IFS(AND(I354=TRUE,R340="NEI"),$R$10,I354=TRUE,T348,TRUE,"")</f>
        <v/>
      </c>
      <c r="T348" s="433" t="str">
        <f>"➡️ "&amp;TEXT(F348,"# ##0")&amp;" kr  =   "&amp;F311&amp;" total arbeidstimer  x  "&amp;TEXT(F342,"#,##")&amp;" kroner per time"</f>
        <v>➡️  kr  =   0 total arbeidstimer  x   kroner per time</v>
      </c>
      <c r="U348" s="210" t="s">
        <v>87</v>
      </c>
    </row>
    <row r="349" spans="1:23" ht="16.5" thickTop="1" thickBot="1" x14ac:dyDescent="0.3">
      <c r="A349" s="121"/>
      <c r="B349" s="141"/>
      <c r="C349" s="163"/>
      <c r="D349" s="247"/>
      <c r="E349" s="382" t="s">
        <v>123</v>
      </c>
      <c r="F349" s="437" t="str">
        <f>IF(R340="nei","",R349)</f>
        <v/>
      </c>
      <c r="G349" s="438"/>
      <c r="H349" s="380"/>
      <c r="I349" s="425" t="str">
        <f t="shared" si="54"/>
        <v/>
      </c>
      <c r="J349" s="435"/>
      <c r="K349" s="439"/>
      <c r="L349" s="439"/>
      <c r="M349" s="381"/>
      <c r="N349" s="141"/>
      <c r="O349" s="121"/>
      <c r="P349" s="440"/>
      <c r="Q349" s="253" t="s">
        <v>123</v>
      </c>
      <c r="R349" s="412" t="e">
        <f>SUM(T329:T332)</f>
        <v>#DIV/0!</v>
      </c>
      <c r="S349" s="253" t="str" cm="1">
        <f t="array" ref="S349">_xlfn.IFS(AND(I354=TRUE,R340="NEI"),$R$10,I354=TRUE,T349,TRUE,"")</f>
        <v/>
      </c>
      <c r="T349" s="433" t="str">
        <f>"➡️ "&amp;TEXT(F349,"# ##0")&amp;" kr  =  arbeidstimer i helg / natt / kveld / helligdag x timetillegg"</f>
        <v>➡️  kr  =  arbeidstimer i helg / natt / kveld / helligdag x timetillegg</v>
      </c>
      <c r="U349" s="210" t="s">
        <v>87</v>
      </c>
    </row>
    <row r="350" spans="1:23" ht="16.5" thickTop="1" thickBot="1" x14ac:dyDescent="0.3">
      <c r="A350" s="121"/>
      <c r="B350" s="141"/>
      <c r="C350" s="163"/>
      <c r="D350" s="247"/>
      <c r="E350" s="382" t="s">
        <v>33</v>
      </c>
      <c r="F350" s="437" t="str">
        <f>IF(R340="nei","",R350)</f>
        <v/>
      </c>
      <c r="G350" s="438"/>
      <c r="H350" s="380"/>
      <c r="I350" s="425" t="str">
        <f t="shared" si="54"/>
        <v/>
      </c>
      <c r="J350" s="435"/>
      <c r="K350" s="435"/>
      <c r="L350" s="435"/>
      <c r="M350" s="381"/>
      <c r="N350" s="141"/>
      <c r="O350" s="121"/>
      <c r="P350" s="440"/>
      <c r="Q350" s="253" t="s">
        <v>33</v>
      </c>
      <c r="R350" s="412" t="e">
        <f>(R348+R349)*R336</f>
        <v>#DIV/0!</v>
      </c>
      <c r="S350" s="253" t="str" cm="1">
        <f t="array" ref="S350">_xlfn.IFS(AND(I354=TRUE,R340="NEI"),$R$10,I354=TRUE,T350,TRUE,"")</f>
        <v/>
      </c>
      <c r="T350" s="433" t="e">
        <f>"➡️ "&amp;TEXT(F350,"# ##0")&amp;" kr = "&amp;TEXT(F348+F349,"# ##0")&amp;" kr lønn &amp; tillegg  x  "&amp;TEXT(F336,"#,0 %")&amp;" feriepenger sats"</f>
        <v>#VALUE!</v>
      </c>
      <c r="U350" s="210" t="s">
        <v>87</v>
      </c>
    </row>
    <row r="351" spans="1:23" ht="16.5" thickTop="1" thickBot="1" x14ac:dyDescent="0.3">
      <c r="A351" s="121"/>
      <c r="B351" s="141"/>
      <c r="C351" s="163"/>
      <c r="D351" s="247"/>
      <c r="E351" s="382" t="s">
        <v>124</v>
      </c>
      <c r="F351" s="437" t="str">
        <f>IF(R340="nei","",R351)</f>
        <v/>
      </c>
      <c r="G351" s="438"/>
      <c r="H351" s="380"/>
      <c r="I351" s="425" t="str">
        <f t="shared" si="54"/>
        <v/>
      </c>
      <c r="J351" s="435"/>
      <c r="K351" s="435"/>
      <c r="L351" s="435"/>
      <c r="M351" s="381"/>
      <c r="N351" s="141"/>
      <c r="O351" s="121"/>
      <c r="P351" s="440"/>
      <c r="Q351" s="253" t="s">
        <v>124</v>
      </c>
      <c r="R351" s="412" t="e">
        <f>SUM(R348:R350)*R337</f>
        <v>#DIV/0!</v>
      </c>
      <c r="S351" s="253" t="str" cm="1">
        <f t="array" ref="S351">_xlfn.IFS(AND(I354=TRUE,R340="NEI"),$R$10,I354=TRUE,T351,TRUE,"")</f>
        <v/>
      </c>
      <c r="T351" s="433" t="e">
        <f>"➡️ "&amp;TEXT(F351,"# ##0")&amp;" kr  = ("&amp;TEXT(F348+F349,"# ##0")&amp;" kr lønn &amp; tillegg + "&amp;TEXT(F350,"# ##0")&amp;" kr feriepenger) x "&amp;TEXT(F337,"#,0 %")&amp;" pensjon"</f>
        <v>#VALUE!</v>
      </c>
      <c r="U351" s="210" t="s">
        <v>87</v>
      </c>
    </row>
    <row r="352" spans="1:23" ht="16.5" thickTop="1" thickBot="1" x14ac:dyDescent="0.3">
      <c r="A352" s="121"/>
      <c r="B352" s="141"/>
      <c r="C352" s="163"/>
      <c r="D352" s="247"/>
      <c r="E352" s="382" t="s">
        <v>22</v>
      </c>
      <c r="F352" s="437" t="str">
        <f>IF(R340="nei","",R352)</f>
        <v/>
      </c>
      <c r="G352" s="438"/>
      <c r="H352" s="380"/>
      <c r="I352" s="425" t="str">
        <f t="shared" si="54"/>
        <v/>
      </c>
      <c r="J352" s="435"/>
      <c r="K352" s="435"/>
      <c r="L352" s="435"/>
      <c r="M352" s="381"/>
      <c r="N352" s="141"/>
      <c r="O352" s="121"/>
      <c r="P352" s="440"/>
      <c r="Q352" s="253" t="s">
        <v>22</v>
      </c>
      <c r="R352" s="412" t="e">
        <f>SUM(R348:R351)*R339</f>
        <v>#DIV/0!</v>
      </c>
      <c r="S352" s="253" t="str" cm="1">
        <f t="array" ref="S352">_xlfn.IFS(AND(I354=TRUE,R340="NEI"),$R$10,I354=TRUE,T352,TRUE,"")</f>
        <v/>
      </c>
      <c r="T352" s="433" t="e">
        <f>"➡️ "&amp;TEXT(F352,"# ##0")&amp;" kr = ("&amp;TEXT(F348+F349,"# ##0")&amp;" kr lønn + "&amp;TEXT(F350,"# ##0")&amp;" kr f.p. + "&amp;TEXT(F351,"# ##0")&amp;" kr pensjon)  x  "&amp;TEXT(F339,"#,0 %")&amp;" aga "</f>
        <v>#VALUE!</v>
      </c>
      <c r="U352" s="210" t="s">
        <v>87</v>
      </c>
    </row>
    <row r="353" spans="1:21" ht="8.1" customHeight="1" thickTop="1" x14ac:dyDescent="0.25">
      <c r="A353" s="121"/>
      <c r="B353" s="141"/>
      <c r="C353" s="163"/>
      <c r="D353" s="256"/>
      <c r="E353" s="257"/>
      <c r="F353" s="288"/>
      <c r="G353" s="442"/>
      <c r="H353" s="443"/>
      <c r="J353" s="435"/>
      <c r="K353" s="435"/>
      <c r="L353" s="435"/>
      <c r="M353" s="381"/>
      <c r="N353" s="141"/>
      <c r="O353" s="121"/>
      <c r="Q353" s="402"/>
      <c r="R353" s="402"/>
      <c r="S353" s="402"/>
      <c r="T353" s="402"/>
      <c r="U353" s="210" t="s">
        <v>87</v>
      </c>
    </row>
    <row r="354" spans="1:21" ht="18.75" x14ac:dyDescent="0.3">
      <c r="A354" s="121"/>
      <c r="B354" s="158"/>
      <c r="C354" s="445"/>
      <c r="D354" s="446"/>
      <c r="E354" s="447" t="s">
        <v>125</v>
      </c>
      <c r="F354" s="285" t="str">
        <f>IF(R340="nei","",R354)</f>
        <v/>
      </c>
      <c r="G354" s="448"/>
      <c r="H354" s="449"/>
      <c r="I354" s="56" t="b">
        <v>0</v>
      </c>
      <c r="J354" s="450" t="s">
        <v>126</v>
      </c>
      <c r="M354" s="371"/>
      <c r="N354" s="158"/>
      <c r="O354" s="121"/>
      <c r="P354" s="575" t="str">
        <f>P302&amp;"c"</f>
        <v>5c</v>
      </c>
      <c r="Q354" s="253" t="s">
        <v>125</v>
      </c>
      <c r="R354" s="412" t="e">
        <f>SUM(R348:R352)</f>
        <v>#DIV/0!</v>
      </c>
      <c r="S354" s="253"/>
      <c r="T354" s="379" t="s">
        <v>87</v>
      </c>
      <c r="U354" s="210" t="s">
        <v>87</v>
      </c>
    </row>
    <row r="355" spans="1:21" ht="8.1" customHeight="1" x14ac:dyDescent="0.25">
      <c r="A355" s="121"/>
      <c r="B355" s="141"/>
      <c r="C355" s="163"/>
      <c r="D355" s="256"/>
      <c r="E355" s="257"/>
      <c r="F355" s="288"/>
      <c r="G355" s="442"/>
      <c r="H355" s="443"/>
      <c r="J355" s="435"/>
      <c r="K355" s="435"/>
      <c r="L355" s="435"/>
      <c r="M355" s="381"/>
      <c r="N355" s="141"/>
      <c r="O355" s="121"/>
      <c r="Q355" s="402"/>
      <c r="R355" s="402"/>
      <c r="S355" s="402"/>
      <c r="T355" s="402"/>
      <c r="U355" s="210" t="s">
        <v>87</v>
      </c>
    </row>
    <row r="356" spans="1:21" ht="8.1" customHeight="1" x14ac:dyDescent="0.25">
      <c r="A356" s="121"/>
      <c r="B356" s="141"/>
      <c r="C356" s="163"/>
      <c r="D356" s="164"/>
      <c r="E356" s="208"/>
      <c r="F356" s="236"/>
      <c r="G356" s="438"/>
      <c r="H356" s="451"/>
      <c r="J356" s="435"/>
      <c r="K356" s="435"/>
      <c r="L356" s="435"/>
      <c r="M356" s="381"/>
      <c r="N356" s="141"/>
      <c r="O356" s="121"/>
      <c r="Q356" s="402"/>
      <c r="R356" s="402"/>
      <c r="S356" s="402"/>
      <c r="T356" s="402"/>
      <c r="U356" s="210" t="s">
        <v>87</v>
      </c>
    </row>
    <row r="357" spans="1:21" x14ac:dyDescent="0.25">
      <c r="A357" s="121"/>
      <c r="B357" s="141"/>
      <c r="C357" s="163"/>
      <c r="D357" s="452"/>
      <c r="E357" s="81" t="str">
        <f>IF(E358="","Skriv kommentar:","")</f>
        <v>Skriv kommentar:</v>
      </c>
      <c r="F357" s="81"/>
      <c r="G357" s="81"/>
      <c r="H357" s="82"/>
      <c r="J357" s="744" t="str">
        <f>IF(S357&amp;S358="","","⚠️Vi trenger mer informasjon")</f>
        <v/>
      </c>
      <c r="K357" s="745"/>
      <c r="L357" s="746"/>
      <c r="M357" s="381"/>
      <c r="N357" s="141"/>
      <c r="O357" s="121"/>
      <c r="Q357" s="253" t="s">
        <v>127</v>
      </c>
      <c r="R357" s="379"/>
      <c r="S357" s="453" t="str">
        <f>IFERROR(IF(S328=$R$9,IF(R337&gt;$R$6,"1. ","")&amp;$S$5,""),"")</f>
        <v/>
      </c>
      <c r="T357" s="379" t="s">
        <v>87</v>
      </c>
      <c r="U357" s="210" t="s">
        <v>87</v>
      </c>
    </row>
    <row r="358" spans="1:21" ht="15" customHeight="1" x14ac:dyDescent="0.25">
      <c r="A358" s="121"/>
      <c r="B358" s="141"/>
      <c r="C358" s="163"/>
      <c r="D358" s="454"/>
      <c r="E358" s="753"/>
      <c r="F358" s="753"/>
      <c r="G358" s="753"/>
      <c r="H358" s="455"/>
      <c r="J358" s="747" t="str">
        <f>_xlfn.TEXTJOIN(CHAR(10)&amp;CHAR(10),TRUE,S357,S358)</f>
        <v/>
      </c>
      <c r="K358" s="748"/>
      <c r="L358" s="749"/>
      <c r="M358" s="381"/>
      <c r="N358" s="141"/>
      <c r="O358" s="121"/>
      <c r="Q358" s="253" t="s">
        <v>280</v>
      </c>
      <c r="R358" s="379"/>
      <c r="S358" s="453" t="str">
        <f>IF(S338=$R$9,IF(S357="","","2. ")&amp;$S$6,"")</f>
        <v/>
      </c>
      <c r="T358" s="253" t="s">
        <v>87</v>
      </c>
      <c r="U358" s="210" t="s">
        <v>87</v>
      </c>
    </row>
    <row r="359" spans="1:21" x14ac:dyDescent="0.25">
      <c r="A359" s="121"/>
      <c r="B359" s="141"/>
      <c r="C359" s="163"/>
      <c r="D359" s="454"/>
      <c r="E359" s="753"/>
      <c r="F359" s="753"/>
      <c r="G359" s="753"/>
      <c r="H359" s="455"/>
      <c r="J359" s="747"/>
      <c r="K359" s="748"/>
      <c r="L359" s="749"/>
      <c r="M359" s="381"/>
      <c r="N359" s="141"/>
      <c r="O359" s="121"/>
      <c r="Q359" s="185"/>
      <c r="R359" s="611"/>
      <c r="S359" s="612"/>
      <c r="T359" s="185"/>
    </row>
    <row r="360" spans="1:21" x14ac:dyDescent="0.25">
      <c r="A360" s="121"/>
      <c r="B360" s="141"/>
      <c r="C360" s="163"/>
      <c r="D360" s="454"/>
      <c r="E360" s="753"/>
      <c r="F360" s="753"/>
      <c r="G360" s="753"/>
      <c r="H360" s="455"/>
      <c r="J360" s="747"/>
      <c r="K360" s="748"/>
      <c r="L360" s="749"/>
      <c r="M360" s="381"/>
      <c r="N360" s="141"/>
      <c r="O360" s="121"/>
    </row>
    <row r="361" spans="1:21" x14ac:dyDescent="0.25">
      <c r="A361" s="121"/>
      <c r="B361" s="141"/>
      <c r="C361" s="163"/>
      <c r="D361" s="454"/>
      <c r="E361" s="753"/>
      <c r="F361" s="753"/>
      <c r="G361" s="753"/>
      <c r="H361" s="455"/>
      <c r="J361" s="747"/>
      <c r="K361" s="748"/>
      <c r="L361" s="749"/>
      <c r="M361" s="381"/>
      <c r="N361" s="141"/>
      <c r="O361" s="121"/>
      <c r="Q361" s="315"/>
      <c r="R361" s="456"/>
    </row>
    <row r="362" spans="1:21" x14ac:dyDescent="0.25">
      <c r="A362" s="121"/>
      <c r="B362" s="141"/>
      <c r="C362" s="163"/>
      <c r="D362" s="454"/>
      <c r="E362" s="753"/>
      <c r="F362" s="753"/>
      <c r="G362" s="753"/>
      <c r="H362" s="455"/>
      <c r="J362" s="747"/>
      <c r="K362" s="748"/>
      <c r="L362" s="749"/>
      <c r="M362" s="381"/>
      <c r="N362" s="141"/>
      <c r="O362" s="121"/>
      <c r="R362" s="457"/>
    </row>
    <row r="363" spans="1:21" x14ac:dyDescent="0.25">
      <c r="A363" s="121"/>
      <c r="B363" s="141"/>
      <c r="C363" s="163"/>
      <c r="D363" s="458"/>
      <c r="E363" s="754"/>
      <c r="F363" s="754"/>
      <c r="G363" s="754"/>
      <c r="H363" s="459"/>
      <c r="J363" s="750"/>
      <c r="K363" s="751"/>
      <c r="L363" s="752"/>
      <c r="M363" s="381"/>
      <c r="N363" s="141"/>
      <c r="O363" s="121"/>
    </row>
    <row r="364" spans="1:21" ht="8.1" customHeight="1" x14ac:dyDescent="0.25">
      <c r="A364" s="121"/>
      <c r="B364" s="141"/>
      <c r="C364" s="163"/>
      <c r="D364" s="460"/>
      <c r="E364" s="461"/>
      <c r="F364" s="461"/>
      <c r="G364" s="461"/>
      <c r="H364" s="460"/>
      <c r="J364" s="462"/>
      <c r="K364" s="462"/>
      <c r="L364" s="462"/>
      <c r="M364" s="381"/>
      <c r="N364" s="141"/>
      <c r="O364" s="121"/>
    </row>
    <row r="365" spans="1:21" x14ac:dyDescent="0.25">
      <c r="A365" s="121"/>
      <c r="B365" s="141"/>
      <c r="C365" s="163"/>
      <c r="D365" s="574"/>
      <c r="E365" s="574"/>
      <c r="F365" s="574"/>
      <c r="G365" s="574"/>
      <c r="H365" s="574"/>
      <c r="J365" s="462"/>
      <c r="K365" s="462"/>
      <c r="L365" s="462"/>
      <c r="M365" s="381"/>
      <c r="N365" s="141"/>
      <c r="O365" s="121"/>
    </row>
    <row r="366" spans="1:21" x14ac:dyDescent="0.25">
      <c r="A366" s="121"/>
      <c r="B366" s="141"/>
      <c r="C366" s="163"/>
      <c r="D366" s="740" t="s">
        <v>287</v>
      </c>
      <c r="E366" s="741"/>
      <c r="F366" s="741"/>
      <c r="G366" s="741"/>
      <c r="H366" s="741"/>
      <c r="I366" s="737" t="s">
        <v>288</v>
      </c>
      <c r="J366" s="737"/>
      <c r="K366" s="617" t="s">
        <v>289</v>
      </c>
      <c r="L366" s="618"/>
      <c r="M366" s="381"/>
      <c r="N366" s="141"/>
      <c r="O366" s="121"/>
    </row>
    <row r="367" spans="1:21" ht="38.25" customHeight="1" x14ac:dyDescent="0.25">
      <c r="A367" s="121"/>
      <c r="B367" s="141"/>
      <c r="C367" s="163"/>
      <c r="D367" s="619"/>
      <c r="E367" s="742"/>
      <c r="F367" s="742"/>
      <c r="G367" s="742"/>
      <c r="H367" s="743"/>
      <c r="I367" s="738"/>
      <c r="J367" s="739"/>
      <c r="K367" s="718"/>
      <c r="L367" s="620"/>
      <c r="M367" s="381"/>
      <c r="N367" s="141"/>
      <c r="O367" s="121"/>
    </row>
    <row r="368" spans="1:21" x14ac:dyDescent="0.25">
      <c r="A368" s="121"/>
      <c r="B368" s="141"/>
      <c r="C368" s="163"/>
      <c r="D368" s="574"/>
      <c r="E368" s="574"/>
      <c r="F368" s="574"/>
      <c r="G368" s="574"/>
      <c r="H368" s="574"/>
      <c r="J368" s="462"/>
      <c r="K368" s="462"/>
      <c r="L368" s="462"/>
      <c r="M368" s="381"/>
      <c r="N368" s="141"/>
      <c r="O368" s="121"/>
    </row>
    <row r="369" spans="1:15" ht="15" customHeight="1" x14ac:dyDescent="0.25">
      <c r="A369" s="121"/>
      <c r="B369" s="141"/>
      <c r="C369" s="141"/>
      <c r="D369" s="141"/>
      <c r="E369" s="141"/>
      <c r="F369" s="318"/>
      <c r="G369" s="319"/>
      <c r="H369" s="198"/>
      <c r="I369" s="320"/>
      <c r="J369" s="141"/>
      <c r="K369" s="141"/>
      <c r="L369" s="141"/>
      <c r="M369" s="141"/>
      <c r="N369" s="141"/>
      <c r="O369" s="121"/>
    </row>
    <row r="370" spans="1:15" ht="6" customHeight="1" x14ac:dyDescent="0.25">
      <c r="A370" s="121"/>
      <c r="B370" s="121"/>
      <c r="C370" s="121"/>
      <c r="D370" s="121"/>
      <c r="E370" s="121"/>
      <c r="F370" s="122"/>
      <c r="G370" s="121"/>
      <c r="H370" s="121"/>
      <c r="I370" s="336"/>
      <c r="J370" s="121"/>
      <c r="K370" s="121"/>
      <c r="L370" s="121"/>
      <c r="M370" s="121"/>
      <c r="N370" s="121"/>
      <c r="O370" s="121"/>
    </row>
  </sheetData>
  <sheetProtection algorithmName="SHA-512" hashValue="jXPjxU+WXJaKS+AXREo240dThFqAS7M5hT1oUKj9e5U1INtkuq7I4zfjyVB5689KAj7zP3iLRRgk9IwL3yf1VA==" saltValue="KUun69GxksF4YhKLPXVSig==" spinCount="100000" sheet="1" objects="1" scenarios="1"/>
  <mergeCells count="39">
    <mergeCell ref="S5:V5"/>
    <mergeCell ref="E74:G79"/>
    <mergeCell ref="D7:F12"/>
    <mergeCell ref="I7:K12"/>
    <mergeCell ref="J73:L73"/>
    <mergeCell ref="J74:L79"/>
    <mergeCell ref="E296:H296"/>
    <mergeCell ref="E216:G221"/>
    <mergeCell ref="D153:H153"/>
    <mergeCell ref="E154:H154"/>
    <mergeCell ref="S6:V6"/>
    <mergeCell ref="I82:J82"/>
    <mergeCell ref="I83:J83"/>
    <mergeCell ref="D82:H82"/>
    <mergeCell ref="E83:H83"/>
    <mergeCell ref="E145:G150"/>
    <mergeCell ref="I224:J224"/>
    <mergeCell ref="I225:J225"/>
    <mergeCell ref="E287:G292"/>
    <mergeCell ref="I295:J295"/>
    <mergeCell ref="D224:H224"/>
    <mergeCell ref="E225:H225"/>
    <mergeCell ref="D295:H295"/>
    <mergeCell ref="I366:J366"/>
    <mergeCell ref="I367:J367"/>
    <mergeCell ref="D366:H366"/>
    <mergeCell ref="E367:H367"/>
    <mergeCell ref="J144:L144"/>
    <mergeCell ref="J145:L150"/>
    <mergeCell ref="J215:L215"/>
    <mergeCell ref="J216:L221"/>
    <mergeCell ref="J286:L286"/>
    <mergeCell ref="J287:L292"/>
    <mergeCell ref="J357:L357"/>
    <mergeCell ref="J358:L363"/>
    <mergeCell ref="I153:J153"/>
    <mergeCell ref="I154:J154"/>
    <mergeCell ref="I296:J296"/>
    <mergeCell ref="E358:G363"/>
  </mergeCells>
  <conditionalFormatting sqref="F1:F6 F369:F1048576">
    <cfRule type="expression" dxfId="6" priority="65">
      <formula>F1=0</formula>
    </cfRule>
  </conditionalFormatting>
  <conditionalFormatting sqref="F14:F80 F85:F151 F156:F222 F227:F293 F298:F364">
    <cfRule type="expression" dxfId="5" priority="79">
      <formula>F14=0</formula>
    </cfRule>
  </conditionalFormatting>
  <conditionalFormatting sqref="J73:L79">
    <cfRule type="cellIs" dxfId="4" priority="1" operator="equal">
      <formula>""</formula>
    </cfRule>
  </conditionalFormatting>
  <conditionalFormatting sqref="J144:L150">
    <cfRule type="cellIs" dxfId="3" priority="2" operator="equal">
      <formula>""</formula>
    </cfRule>
  </conditionalFormatting>
  <conditionalFormatting sqref="J215:L221">
    <cfRule type="cellIs" dxfId="2" priority="5" operator="equal">
      <formula>""</formula>
    </cfRule>
  </conditionalFormatting>
  <conditionalFormatting sqref="J286:L292">
    <cfRule type="cellIs" dxfId="1" priority="4" operator="equal">
      <formula>""</formula>
    </cfRule>
  </conditionalFormatting>
  <conditionalFormatting sqref="J357:L363">
    <cfRule type="cellIs" dxfId="0" priority="3" operator="equal">
      <formula>""</formula>
    </cfRule>
  </conditionalFormatting>
  <dataValidations xWindow="655" yWindow="798" count="41">
    <dataValidation allowBlank="1" showInputMessage="1" showErrorMessage="1" prompt="Dette er beregnet som_x000a__x000a_Årslønn x stillingsprosent x arbeidsuker i tilskuddsperioden / 52 uker, evt._x000a__x000a_Timelønn (før sos. utg) x arbeidstimer per uke x arbeidsuker i tilskuddperioden" sqref="G135:G136 G348:G349 G206:G207 G277:G278 G64:G65" xr:uid="{B163B9CB-0B81-4DB9-A60D-28694576A19D}"/>
    <dataValidation type="whole" operator="greaterThanOrEqual" allowBlank="1" showInputMessage="1" showErrorMessage="1" errorTitle="Ugyldig verdi" error="Antall ansatte må kun være tall og minst 1. " promptTitle="Antall ansatte" prompt="Oppgi hvor mange ansatte denne beregningen gjelder for." sqref="G120 G127 G333 G340 G191 G198 G262 G269 G49 G56" xr:uid="{B7A10270-0D47-46A3-8C7A-27CFA72C8990}">
      <formula1>1</formula1>
    </dataValidation>
    <dataValidation allowBlank="1" showInputMessage="1" showErrorMessage="1" promptTitle="Stillingstittel" prompt="Oppgi stillingstittelen, som «miljøarbeider» eller «tolk»." sqref="G122 G114 G335 G327 G193 G185 G264 G256 G51 G43" xr:uid="{1FD98940-98AF-4761-8FE5-529A6B96F3CC}"/>
    <dataValidation allowBlank="1" showErrorMessage="1" promptTitle="Tiltak" prompt="Oppgi hvilket tiltak i søknaden de(n) ansatte er brukt i, som «hjemmesykepleie»." sqref="F92:F93 F305:F306 F163:F164 F234:F235 F21:F22" xr:uid="{F9303549-7578-4367-B697-062C79DA1460}"/>
    <dataValidation allowBlank="1" showErrorMessage="1" promptTitle="Stillingstittel" prompt="Oppgi stillingstittelen, som «miljøarbeider» eller «tolk»." sqref="F111 F122 F114 F93 F324 F335 F327 F306 F182 F193 F185 F164 F253 F264 F256 F235 F40 F51 F43 F22" xr:uid="{FCC290EF-9931-4B21-9DDD-69FC13EAAEB1}"/>
    <dataValidation type="whole" operator="greaterThanOrEqual" allowBlank="1" promptTitle="Årslønn" prompt="Skriv den ansattes årslønn (grunnlønn). Gjelder beregningen flere ansatte, oppgir dere gjennomsnittet av årslønnene. _x000a__x000a_Selv om den ansatte jobber deltid, skal dere oppgi årslønn for full stilling._x000a_" sqref="F115 F328 F186 F257 F44" xr:uid="{664D958D-CB34-4CD8-8131-C390A215C69A}">
      <formula1>0</formula1>
    </dataValidation>
    <dataValidation operator="greaterThanOrEqual" allowBlank="1" showInputMessage="1" showErrorMessage="1" errorTitle="Ugyldig verdi" error="Antall ansatte må kun være tall og minst 1. " sqref="H131 H107 H344 H320 H202 H178 H273 H249 H60 H36" xr:uid="{77A0C581-63E4-462C-8F35-0C341A1C285C}"/>
    <dataValidation allowBlank="1" showInputMessage="1" showErrorMessage="1" errorTitle="Ugyldig verdi" error="Velg riktig svar fra nedtrekksmenyen." sqref="H131 H107 H344 H320 H202 H178 H273 H249 H60 H36" xr:uid="{6643BBC6-7E34-41CC-B934-09A055030BE9}"/>
    <dataValidation operator="lessThanOrEqual" allowBlank="1" showErrorMessage="1" errorTitle="Ugyldig verdi" error="Arbeidstimer helligdag skal ikke overstige arbeidstimer totalt." promptTitle="Ordinære arbeidstimer" prompt="Oppgi alle timer per uke flyktningen har direkteoppfølging av en eller flere ansatte. _x000a_" sqref="F106 F319 F177 F248 F35" xr:uid="{37C7AD2B-A06D-4A27-AB59-8096B659260D}"/>
    <dataValidation allowBlank="1" showInputMessage="1" showErrorMessage="1" errorTitle="Ugyldig verdi" error="Arbeidstimer per uke skal ikke overstige alminnelig arbeidstid." sqref="F128 F103 F121 F98:F100 F341 F270 F316 F334 F199 F174 F192 F169:F171 F311:F313 F245 F263 F240:F242 F57 F32 F50 F27:F29" xr:uid="{94A1C2D7-A070-4607-B1DF-8AFABA978C2E}"/>
    <dataValidation allowBlank="1" showErrorMessage="1" prompt="Dette er beregnet som_x000a__x000a_Årslønn x stillingsprosent x arbeidsuker i tilskuddsperioden / 52 uker, evt._x000a__x000a_Timelønn (før sos. utg) x arbeidstimer per uke x arbeidsuker i tilskuddperioden" sqref="F135:F144 F348:F357 F206:F215 F277:F286 F64:F73" xr:uid="{DD5F25A1-C2F0-4075-9488-C0F257949E3E}"/>
    <dataValidation operator="lessThanOrEqual" allowBlank="1" showErrorMessage="1" errorTitle="Ugyldig verdi" error="Antall timer skal ikke overstige arbeidstimer totalt." promptTitle="Ordinære arbeidstimer" prompt="Oppgi alle timer per uke flyktningen har direkteoppfølging av en eller flere ansatte. _x000a_" sqref="F101 F104:F105 F314 F317:F318 F172 F175:F176 F243 F246:F247 F30 F33:F34" xr:uid="{5D4B47E9-C858-4995-83B1-5F7702CB3CF3}"/>
    <dataValidation operator="lessThanOrEqual" allowBlank="1" showErrorMessage="1" errorTitle="Ugyldig verdi" error="Timer skal ikke overstige arbeidstimer totalt." promptTitle="Ordinære arbeidstimer" prompt="Oppgi alle timer per uke flyktningen har direkteoppfølging av en eller flere ansatte. _x000a_" sqref="F102 F315 F173 F244 F31" xr:uid="{FCE22B99-2903-404D-9517-4ACF07EF385C}"/>
    <dataValidation allowBlank="1" showErrorMessage="1" sqref="F116:F119 F329:F332 F187:F190 F258:F261 F45:F48" xr:uid="{C203D6CE-B8CD-407D-B863-7C8FF7CBD054}"/>
    <dataValidation allowBlank="1" showInputMessage="1" showErrorMessage="1" promptTitle="Tiltaksnavn med tolk" prompt="Oppgi hvilket tiltak tolken har bidratt i." sqref="G93 G306 G164 G235 G22" xr:uid="{ADC9F6A2-23CA-42F2-A949-F812FDC01711}"/>
    <dataValidation allowBlank="1" showInputMessage="1" showErrorMessage="1" errorTitle="Ugyldig verdi" error="Arbeidstimer per uke skal ikke overstige alminnelig arbeidstid." promptTitle="arbeidstimer kveld" prompt="Oppgi antall timer flyktningen får oppfølging på kveldstid, som gir ubekvemstillegg." sqref="G101 G314 G172 G243 G30" xr:uid="{45D98D41-928F-4853-BDBC-DEB911F2876A}"/>
    <dataValidation allowBlank="1" showInputMessage="1" showErrorMessage="1" errorTitle="Ugyldig verdi" error="Arbeidstimer per uke skal ikke overstige alminnelig arbeidstid." promptTitle="arbeidstimer natt" prompt="Oppgi antall timer flyktningen får oppfølging på nattestid, som gir ubekvemstillegg." sqref="G102 G315 G173 G244 G31" xr:uid="{1D1F9BAA-BE44-4319-87D7-4947EF643885}"/>
    <dataValidation allowBlank="1" showInputMessage="1" showErrorMessage="1" errorTitle="Ugyldig verdi" error="Arbeidstimer per uke skal ikke overstige alminnelig arbeidstid." promptTitle="arbeidstimer helligdag" prompt="Oppgi antall timer flyktningen får oppfølging på helligdager (ukedag), som gir ubekvemstillegg" sqref="G105 G318 G176 G247 G34" xr:uid="{D6662CAC-105A-4653-8860-B1DB0CD9CC63}"/>
    <dataValidation allowBlank="1" showInputMessage="1" showErrorMessage="1" errorTitle="Ugyldig verdi" error="Arbeidstimer per uke skal ikke overstige alminnelig arbeidstid." promptTitle="arbeidstimer helligdag helg" prompt="Oppgi antall timer flyktningen får oppfølging på helligdager (helg), som gir ubekvemstillegg" sqref="G106 G319 G177 G248 G35" xr:uid="{B039EC49-6494-436E-B28F-1D16C073B929}"/>
    <dataValidation operator="lessThanOrEqual" allowBlank="1" errorTitle="Ugyldig verdi" error="Antall timer per uke skal ikke overstige 168 timer (24 timer x 7 dager)." sqref="F96 F309 F167 F238 F25" xr:uid="{081FB4B6-5571-4006-81A8-07E8963573CA}"/>
    <dataValidation allowBlank="1" errorTitle="Ugyldig verdi" error="Arbeidstimer per uke skal ikke overstige alminnelig arbeidstid." sqref="F97 F310 F168 F239 F26" xr:uid="{752525DD-E4F1-44A4-88A5-0FE946331292}"/>
    <dataValidation allowBlank="1" showInputMessage="1" promptTitle="Tiltaksnavn" prompt="Oppgi hvilket tiltak denne beregningen gjelder for, som «miljøarbeider&quot; eller &quot;oppfølging i skolen&quot;" sqref="G92 G305 G163 G234 G21" xr:uid="{17F51CF2-454F-45AC-B191-8EA25DD2ED3A}"/>
    <dataValidation allowBlank="1" showInputMessage="1" showErrorMessage="1" promptTitle="alminnelig arbeidstid " prompt="Alminnelig arbeidstid for full stilling i Norge er normalt 37,5 timer i uka. Arbeids_x000a__x000a_" sqref="G112 G325 G183 G254 G41" xr:uid="{1179714C-DB31-458E-ADBD-F6D0D2709F8A}"/>
    <dataValidation allowBlank="1" showInputMessage="1" showErrorMessage="1" errorTitle="Ugyldig verdi" error="Arbeidstimer per uke skal ikke overstige alminnelig arbeidstid." promptTitle="arbeidstimer helg" prompt="Oppgi antall timer flyktningen får oppfølging i helger, som gir ubekvemstillegg." sqref="G104 G317 G175 G246 G33" xr:uid="{7C799DAE-C15E-4521-A3AC-2B6A7B5646FB}"/>
    <dataValidation operator="greaterThanOrEqual" allowBlank="1" showInputMessage="1" promptTitle="timetillegg natt" prompt="Oppgi riktig sats for timetilegg ved nattarbeid" sqref="G117 G330 G188 G259 G46" xr:uid="{92624530-048A-464D-9428-2174516DE501}"/>
    <dataValidation allowBlank="1" showInputMessage="1" showErrorMessage="1" errorTitle="Ugyldig verdi" error="Velg riktig svar fra nedtrekksmenyen." promptTitle="Timetillegg natt" prompt="Skriv den ansattes timetillegg for natt hvis det er aktuelt." sqref="G117 G330 G188 G259 G46" xr:uid="{5C6BBC7B-F1D7-4C75-866F-94CE0D511D3B}"/>
    <dataValidation allowBlank="1" showInputMessage="1" showErrorMessage="1" errorTitle="Ugyldig verdi" error="Velg riktig svar fra nedtrekksmenyen." promptTitle="prosenttillegg helligdag" prompt="Oppgi riktig prosentsats for helligdagstillegg" sqref="G119 G332 G190 G261 G48" xr:uid="{4A501B91-7DB3-40A7-9017-1AF0C26D1CE9}"/>
    <dataValidation operator="greaterThanOrEqual" allowBlank="1" showInputMessage="1" promptTitle="Prosenttillegg helligdag" prompt="Skriv den ansattes prosenttillegg for helligdag hvis det er aktuelt" sqref="G119 G332 G190 G261 G48" xr:uid="{C1B27A05-D55C-418E-883F-41A12043C87F}"/>
    <dataValidation allowBlank="1" showInputMessage="1" showErrorMessage="1" errorTitle="Ugyldig verdi" error="Feriepengersatsen må være 12% eller 14,2% av feriepengegrunnlaget. _x000a__x000a_Velg fra nedtrekksmenyen." promptTitle="sats feriepenger" prompt="Velg &quot;12 %&quot; eller &quot;14,3 %&quot; - feriepengegrunnlag._x000a__x000a_Det vanligste er 12 %. 14,3 % brukes for ansatte over 60 år - de har rett på 14,3 % av feriepengegrunnlaget ved seks ukers ferie." sqref="G123 G336 G194 G265 G52" xr:uid="{2B5903DD-95B8-4C1B-A911-0EB9C0104158}"/>
    <dataValidation type="decimal" allowBlank="1" showInputMessage="1" showErrorMessage="1" errorTitle="Ugyldig verdi" error="Arbeidstimer per uke skal ikke overstige alminnelig arbeidstid." promptTitle="arbeidstimer per uke" prompt="Oppgi totalt antall timer per uke flyktningen får oppfølging av ansatte." sqref="G96 G309 G167 G238 G25" xr:uid="{0BD8ACD8-51FC-4538-AFAE-2012FC62D60C}">
      <formula1>0</formula1>
      <formula2>P24</formula2>
    </dataValidation>
    <dataValidation type="decimal" operator="lessThanOrEqual" allowBlank="1" showInputMessage="1" showErrorMessage="1" errorTitle="Ugyldig verdi" error="Arbeidsuker i tilskuddperioden skal ikke overstige 47 uker (eller 46 for ansatte over 60 år)._x000a__x000a_Bruk nytt skjema dersom dere vil søke refusjon for lønn til vikar som jobber i denne perioden." promptTitle="arbeidsuker i tilskuddsperioden" prompt="Oppgi antall uker flyktningen mottar direkte oppfølging av ansatte. _x000a__x000a_Det vil si ekskludert de ukene ansatte er på ferie, sykmeldt eller i permisjon. " sqref="G97 G239 G310 G168 G26" xr:uid="{2BB59A56-1813-4D21-B395-62245027B4FF}">
      <formula1>P26</formula1>
    </dataValidation>
    <dataValidation allowBlank="1" showInputMessage="1" showErrorMessage="1" promptTitle="stillingstittel" prompt="Oppgi de(n) ansattes stillingstittel, som «miljøarbeider» eller «tolk»." sqref="G111 G324 G182 G253 G40" xr:uid="{3474E84A-DAFE-437C-A3D1-A22392714C79}"/>
    <dataValidation allowBlank="1" showInputMessage="1" errorTitle="Ugyldig verdi" error="Velg riktig svar fra nedtrekksmenyen." promptTitle="alminnelig arbeidstid" prompt="Velg riktig ukentlig arbeidstid for den ansatte. Vanligst er 37,5t for tariffavtale, og 35,5t for turnus._x000a__x000a_Selv om de(n) ansatte jobber deltid, skal dere oppgi hvor mange timer stillingen tilsvarer i en fulltidsuke." sqref="G112 G325 G183 G254 G41" xr:uid="{9E173CD3-2786-4AFC-9AB5-9357F0263B0D}"/>
    <dataValidation operator="greaterThanOrEqual" allowBlank="1" showInputMessage="1" promptTitle="årslønn for full stilling" prompt="Oppgi den ansattes årslønn (grunnlønn). Bruk gjennomsnitlig årslønn dersom denne beregningen gjelder flere ansatte. _x000a__x000a_Oppgi årslønn for full stilling, selv om de(n) ansatte jobber deltid." sqref="G115 G328 G186 G257 G44" xr:uid="{F9CD20FE-7F47-406A-905B-775DFDE0DFC7}"/>
    <dataValidation operator="greaterThanOrEqual" allowBlank="1" showInputMessage="1" promptTitle="timetillegg kveld" prompt="Oppgi riktig sats for timetilegg ved kveldsarbeid_x000a_" sqref="G116 G329 G187 G258 G45" xr:uid="{0A18651F-7C1A-4DB7-BE8F-B8C05E495CAA}"/>
    <dataValidation operator="greaterThanOrEqual" allowBlank="1" showInputMessage="1" promptTitle="timetillegg helg" prompt="Oppgi riktig sats for timetilegg ved nattarbeid._x000a_" sqref="G118 G331 G189 G260 G47" xr:uid="{81EDB97A-8863-4227-96E9-E66839D0B7E3}"/>
    <dataValidation allowBlank="1" showInputMessage="1" showErrorMessage="1" errorTitle="Ugyldig verdi" error="Velg riktig svar fra nedtrekksmenyen." promptTitle="timetillegg helg" prompt="Oppgi riktig sats for timetilegg ved nattarbeid_x000a_" sqref="G118 G331 G189 G260 G47" xr:uid="{77DED268-AFAF-4CE0-A16A-2C40F8B18AE9}"/>
    <dataValidation allowBlank="1" showInputMessage="1" showErrorMessage="1" errorTitle="Ugyldig verdi" error="Velg riktig sats fra nedtrekksmenyen._x000a__x000a_Sone   Sats _x000a_I           14,1 %_x000a_II          10,6 %_x000a_III           6,4 %_x000a_IV           5,1 %_x000a_IVa         7,9 %_x000a_V            0,0 %_x000a_" promptTitle="sats arbeidsgiveravgift" prompt="Oppgi riktig kommunal sats for arbeidsgiveravgift. Avgiften er regionalt ulik og fastsettes av Stortinget hvert år. _x000a__x000a_Klikk på linken til venstre for å finne riktig arbeidsgiveravgift for deres kommune._x000a_" sqref="G126 G339 G197 G268 G55" xr:uid="{CDC78334-969F-456E-AAF0-DF56C18C509C}"/>
    <dataValidation type="list" allowBlank="1" showErrorMessage="1" errorTitle="Ugyldig verdi" error="Feriepengersatsen må være 12% eller 14,2% av feriepengegrunnlaget. _x000a__x000a_Velg fra nedtrekksmenyen." promptTitle="Feriepenger" prompt="Velg &quot;12 %&quot; eller &quot;14,3 %&quot; - feriepengegrunnlag._x000a__x000a_Det vanligste er 12 %. 14,3 % brukes for ansatte over 60 år. Denne gruppen har rett på av 14,3 % av feriepengegrunnlaget ved seks ukers ferie." sqref="F125 F338 F196 F267 F54" xr:uid="{DCEF3D6E-0FAA-477E-93A5-4A5C472A616C}">
      <formula1>"0%,-2%"</formula1>
    </dataValidation>
    <dataValidation errorStyle="information" operator="lessThanOrEqual" allowBlank="1" showInputMessage="1" error="Du oppgir en høy pensjonssats - over 10%. Forklar hvorfor, og vis utregning i kommentarfeltet nederst. " promptTitle="sats pensjon" prompt="Grunnpremie for pensjon dekkes med 11 %" sqref="G124 G337 G195 G266 G53" xr:uid="{B41FC9D1-ADA9-487A-8384-C0BDAB266C75}"/>
    <dataValidation errorStyle="information" operator="lessThanOrEqual" allowBlank="1" showInputMessage="1" error="Du oppgir en høy pensjonssats - over 10%. Forklar hvorfor, og vis utregning i kommentarfeltet nederst. " promptTitle="ansattes egenandel for pensjon" prompt="Ansattes egenandel for grunnpremien er normalt 2 %. _x000a__x000a_Sett prosenten til 0 % dersom arbeidsgiver ikke trekker egenandel fra lønnen, og legg inn en kommentar om dette i feltet under._x000a_" sqref="G125 G338 G196 G267 G54" xr:uid="{E20B9035-D328-43D7-9897-E5B2CF3CB10A}"/>
  </dataValidations>
  <hyperlinks>
    <hyperlink ref="E198" r:id="rId1" display="Finn din kommunes differensierte avgiftssats her" xr:uid="{52CD796E-3F13-4D79-B7A5-6631DD08C873}"/>
    <hyperlink ref="E191" r:id="rId2" display="Finn xxx her" xr:uid="{43CCD959-22BD-4452-89E6-819D7EF123F7}"/>
    <hyperlink ref="E269" r:id="rId3" display="Finn din kommunes differensierte avgiftssats her" xr:uid="{EF4957AD-8910-4227-9F44-EBC4BA2CD736}"/>
    <hyperlink ref="E262" r:id="rId4" display="Finn xxx her" xr:uid="{5FA8CBA4-7479-44C1-BCA5-438FFF27A627}"/>
    <hyperlink ref="E340" r:id="rId5" display="Finn din kommunes differensierte avgiftssats her" xr:uid="{13BF9C67-47BD-4D08-B1F4-5A1A9058BF40}"/>
    <hyperlink ref="E333" r:id="rId6" display="Finn xxx her" xr:uid="{B494B301-72E8-42E5-A4AC-D0738252C893}"/>
    <hyperlink ref="E127" r:id="rId7" display="Finn din kommunes differensierte avgiftssats her" xr:uid="{A35691DB-6FEE-4E5B-919D-6A9595F7212F}"/>
    <hyperlink ref="E120" r:id="rId8" display="Finn xxx her" xr:uid="{6718C7C9-76D9-4584-855E-02A5253C3F78}"/>
    <hyperlink ref="E56" r:id="rId9" display="Finn din kommunes differensierte avgiftssats her" xr:uid="{4B7D2C8C-F5AD-4857-93EA-A7A6F609D32E}"/>
    <hyperlink ref="E49" r:id="rId10" display="Finn xxx her" xr:uid="{69C6F58B-EC0A-447A-8359-1B4553299ED9}"/>
  </hyperlinks>
  <pageMargins left="0.23622047244094491" right="0.23622047244094491" top="0.74803149606299213" bottom="0.74803149606299213" header="0.31496062992125984" footer="0.31496062992125984"/>
  <pageSetup paperSize="9" scale="60" orientation="portrait" r:id="rId11"/>
  <rowBreaks count="4" manualBreakCount="4">
    <brk id="86" max="22" man="1"/>
    <brk id="157" max="22" man="1"/>
    <brk id="228" max="22" man="1"/>
    <brk id="299" max="22" man="1"/>
  </rowBreaks>
  <extLst>
    <ext xmlns:x14="http://schemas.microsoft.com/office/spreadsheetml/2009/9/main" uri="{CCE6A557-97BC-4b89-ADB6-D9C93CAAB3DF}">
      <x14:dataValidations xmlns:xm="http://schemas.microsoft.com/office/excel/2006/main" xWindow="655" yWindow="798" count="6">
        <x14:dataValidation type="list" allowBlank="1" showInputMessage="1" showErrorMessage="1" errorTitle="Ugyldig verdi" error="Velg riktig svar fra nedtrekksmenyen." promptTitle="Alminnelig arbeidstid" prompt="Velg riktig ukentlig arbeidstid for den ansatte. Vanligst er 37,5t for tariffavtale, og 35,5t for turnus._x000a__x000a_Selv om den ansatte jobber deltid, skal dere oppgi antall timer personen ville hatt i en fullstilling i løpet av en uke." xr:uid="{BC724366-7A6D-44C0-BEA5-DA6E150FAF8D}">
          <x14:formula1>
            <xm:f>Innstillinger!$B$48:$B$53</xm:f>
          </x14:formula1>
          <xm:sqref>G120 G127 G333 G340 G191 G198 G262 G269 G49 G56</xm:sqref>
        </x14:dataValidation>
        <x14:dataValidation type="list" allowBlank="1" showErrorMessage="1" errorTitle="Ugyldig verdi" error="Feriepengersatsen må være 12% eller 14,2% av feriepengegrunnlaget. _x000a__x000a_Velg fra nedtrekksmenyen." promptTitle="Feriepenger" prompt="Velg &quot;12 %&quot; eller &quot;14,3 %&quot; - feriepengegrunnlag._x000a__x000a_Det vanligste er 12 %. 14,3 % brukes for ansatte over 60 år. Denne gruppen har rett på av 14,3 % av feriepengegrunnlaget ved seks ukers ferie." xr:uid="{AEB66B1E-2764-4172-AF43-9820BE72BD90}">
          <x14:formula1>
            <xm:f>Innstillinger!$B$67:$B$69</xm:f>
          </x14:formula1>
          <xm:sqref>F123 F336 F194 F265 F52</xm:sqref>
        </x14:dataValidation>
        <x14:dataValidation type="list" allowBlank="1" showErrorMessage="1" errorTitle="Ugyldig verdi" error="Velg riktig sats fra nedtrekksmenyen._x000a__x000a_Sone   Sats _x000a_I           14,1 %_x000a_II          10,6 %_x000a_III           6,4 %_x000a_IV           5,1 %_x000a_IVa         7,9 %_x000a_V            0,0 %_x000a_" promptTitle="Arbeidsgiveravgift" prompt="Oppgi satsen for arbeidsgiveravgift for din kommune. Arbeidsgiveravgiften er regionalt differensiert og fastsettes av Stortinget hvert år. _x000a__x000a_Klikk på linken til venstre for å finne riktig arbeidsgiveravgift for deres kommune._x000a_" xr:uid="{EEE0C4CB-0CD4-449B-ACE0-E77E3C7B6106}">
          <x14:formula1>
            <xm:f>Innstillinger!$B$57:$B$63</xm:f>
          </x14:formula1>
          <xm:sqref>F126 F339 F197 F268 F55</xm:sqref>
        </x14:dataValidation>
        <x14:dataValidation type="list" allowBlank="1" showErrorMessage="1" errorTitle="Ugyldig verdi" error="Velg riktig svar fra nedtrekksmenyen." xr:uid="{0239AD0A-A9B2-4CF2-B5C4-7A0B850E24E5}">
          <x14:formula1>
            <xm:f>Innstillinger!$B$48:$B$53</xm:f>
          </x14:formula1>
          <xm:sqref>F115 F328 F186 F257 F44</xm:sqref>
        </x14:dataValidation>
        <x14:dataValidation type="list" allowBlank="1" showErrorMessage="1" errorTitle="Ugyldig verdi" error="Velg riktig svar fra nedtrekksmenyen." promptTitle="Alminnelig arbeidstid" prompt="Velg riktig ukentlig arbeidstid for den ansatte. Vanligst er 37,5t for tariffavtale, og 35,5t for turnus._x000a__x000a_Selv om den ansatte jobber deltid, skal dere oppgi antall timer personen ville hatt i en fullstilling i løpet av en uke." xr:uid="{6C332278-61FD-42E6-8599-BF2AD27162E4}">
          <x14:formula1>
            <xm:f>Innstillinger!$B$48:$B$53</xm:f>
          </x14:formula1>
          <xm:sqref>F115 F112 F328 F325 F186 F183 F257 F254 F44 F41</xm:sqref>
        </x14:dataValidation>
        <x14:dataValidation type="list" allowBlank="1" showErrorMessage="1" promptTitle="Stillingstittel" prompt="Oppgi stillingstittelen, som «miljøarbeider» eller «tolk»." xr:uid="{555A94B3-A676-413B-B2A2-11141BC4428A}">
          <x14:formula1>
            <xm:f>Innstillinger!$B$48:$B$53</xm:f>
          </x14:formula1>
          <xm:sqref>F112 F325 F183 F254 F41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C9403-6DAD-4FDE-A363-4C2BBB31865A}">
  <sheetPr>
    <tabColor rgb="FFF2EFED"/>
    <pageSetUpPr autoPageBreaks="0" fitToPage="1"/>
  </sheetPr>
  <dimension ref="A1:U291"/>
  <sheetViews>
    <sheetView showGridLines="0" zoomScale="110" zoomScaleNormal="110" zoomScaleSheetLayoutView="97" workbookViewId="0">
      <pane ySplit="4" topLeftCell="A5" activePane="bottomLeft" state="frozen"/>
      <selection pane="bottomLeft"/>
    </sheetView>
  </sheetViews>
  <sheetFormatPr baseColWidth="10" defaultColWidth="11.42578125" defaultRowHeight="15" zeroHeight="1" x14ac:dyDescent="0.25"/>
  <cols>
    <col min="1" max="1" width="1.42578125" customWidth="1"/>
    <col min="2" max="3" width="4.28515625" customWidth="1"/>
    <col min="4" max="4" width="1.28515625" customWidth="1"/>
    <col min="5" max="5" width="42.42578125" customWidth="1"/>
    <col min="6" max="6" width="25.140625" customWidth="1"/>
    <col min="7" max="7" width="3.28515625" customWidth="1"/>
    <col min="8" max="8" width="1.28515625" customWidth="1"/>
    <col min="9" max="9" width="4.28515625" customWidth="1"/>
    <col min="10" max="10" width="11.7109375" customWidth="1"/>
    <col min="11" max="11" width="40.85546875" customWidth="1"/>
    <col min="12" max="12" width="1.28515625" customWidth="1"/>
    <col min="13" max="14" width="4.28515625" customWidth="1"/>
    <col min="15" max="15" width="1.42578125" customWidth="1"/>
    <col min="16" max="16" width="11.42578125" hidden="1" customWidth="1"/>
    <col min="17" max="17" width="30.7109375" hidden="1" customWidth="1"/>
    <col min="18" max="18" width="13.28515625" hidden="1" customWidth="1"/>
    <col min="19" max="21" width="15" hidden="1" customWidth="1"/>
  </cols>
  <sheetData>
    <row r="1" spans="1:21" ht="8.1" customHeight="1" x14ac:dyDescent="0.25">
      <c r="A1" s="121"/>
      <c r="B1" s="121"/>
      <c r="C1" s="121"/>
      <c r="D1" s="121"/>
      <c r="E1" s="121"/>
      <c r="F1" s="122"/>
      <c r="G1" s="123"/>
      <c r="H1" s="124"/>
      <c r="I1" s="125"/>
      <c r="J1" s="126"/>
      <c r="K1" s="121"/>
      <c r="L1" s="121"/>
      <c r="M1" s="121"/>
      <c r="N1" s="121"/>
      <c r="O1" s="121"/>
      <c r="P1" s="127"/>
      <c r="Q1" s="210"/>
      <c r="R1" s="210"/>
      <c r="S1" s="210"/>
      <c r="T1" s="210"/>
      <c r="U1" s="210"/>
    </row>
    <row r="2" spans="1:21" ht="32.1" customHeight="1" x14ac:dyDescent="0.5">
      <c r="A2" s="128"/>
      <c r="B2" s="128"/>
      <c r="C2" s="129">
        <v>2</v>
      </c>
      <c r="D2" s="130"/>
      <c r="E2" s="131" t="s">
        <v>130</v>
      </c>
      <c r="F2" s="132"/>
      <c r="G2" s="123"/>
      <c r="H2" s="133"/>
      <c r="I2" s="134"/>
      <c r="J2" s="128"/>
      <c r="K2" s="128"/>
      <c r="L2" s="128"/>
      <c r="M2" s="130"/>
      <c r="N2" s="128"/>
      <c r="O2" s="128"/>
      <c r="P2" s="211"/>
      <c r="Q2" s="210"/>
      <c r="R2" s="210"/>
      <c r="S2" s="210"/>
      <c r="T2" s="210"/>
      <c r="U2" s="210"/>
    </row>
    <row r="3" spans="1:21" x14ac:dyDescent="0.25">
      <c r="A3" s="135"/>
      <c r="B3" s="135"/>
      <c r="C3" s="135"/>
      <c r="D3" s="136"/>
      <c r="E3" s="137" t="s">
        <v>131</v>
      </c>
      <c r="F3" s="138"/>
      <c r="G3" s="135"/>
      <c r="H3" s="139"/>
      <c r="I3" s="140"/>
      <c r="J3" s="135"/>
      <c r="K3" s="135"/>
      <c r="L3" s="135"/>
      <c r="M3" s="136"/>
      <c r="N3" s="135"/>
      <c r="O3" s="135"/>
      <c r="P3" s="212"/>
      <c r="Q3" s="317"/>
      <c r="R3" s="317"/>
      <c r="S3" s="317"/>
      <c r="T3" s="317"/>
      <c r="U3" s="317"/>
    </row>
    <row r="4" spans="1:21" ht="8.1" customHeight="1" x14ac:dyDescent="0.25">
      <c r="A4" s="121"/>
      <c r="B4" s="121"/>
      <c r="C4" s="121"/>
      <c r="D4" s="121"/>
      <c r="E4" s="121"/>
      <c r="F4" s="122"/>
      <c r="G4" s="123"/>
      <c r="H4" s="124"/>
      <c r="I4" s="125"/>
      <c r="J4" s="121"/>
      <c r="K4" s="121"/>
      <c r="L4" s="121"/>
      <c r="M4" s="121"/>
      <c r="N4" s="121"/>
      <c r="O4" s="121"/>
      <c r="P4" s="127"/>
      <c r="Q4" s="210"/>
      <c r="R4" s="210"/>
      <c r="S4" s="210"/>
      <c r="T4" s="210"/>
      <c r="U4" s="210"/>
    </row>
    <row r="5" spans="1:21" ht="15" customHeight="1" x14ac:dyDescent="0.25">
      <c r="A5" s="121"/>
      <c r="B5" s="141"/>
      <c r="C5" s="141"/>
      <c r="D5" s="141"/>
      <c r="E5" s="141"/>
      <c r="F5" s="466"/>
      <c r="G5" s="319"/>
      <c r="H5" s="198"/>
      <c r="I5" s="467"/>
      <c r="J5" s="141"/>
      <c r="K5" s="141"/>
      <c r="L5" s="141"/>
      <c r="M5" s="141"/>
      <c r="N5" s="141"/>
      <c r="O5" s="121"/>
      <c r="P5" s="127"/>
      <c r="Q5" s="210"/>
      <c r="R5" s="210"/>
      <c r="S5" s="210"/>
      <c r="T5" s="210"/>
      <c r="U5" s="210"/>
    </row>
    <row r="6" spans="1:21" ht="24" customHeight="1" x14ac:dyDescent="0.4">
      <c r="A6" s="121"/>
      <c r="B6" s="141"/>
      <c r="C6" s="142"/>
      <c r="D6" s="142"/>
      <c r="E6" s="143" t="s">
        <v>69</v>
      </c>
      <c r="F6" s="143"/>
      <c r="G6" s="323"/>
      <c r="H6" s="144"/>
      <c r="I6" s="143" t="s">
        <v>70</v>
      </c>
      <c r="J6" s="145"/>
      <c r="K6" s="146"/>
      <c r="L6" s="146"/>
      <c r="M6" s="149"/>
      <c r="N6" s="141"/>
      <c r="O6" s="121"/>
      <c r="P6" s="127"/>
      <c r="Q6" s="321" t="s">
        <v>66</v>
      </c>
      <c r="R6" s="322">
        <v>1550</v>
      </c>
      <c r="S6" s="761" t="s">
        <v>67</v>
      </c>
      <c r="T6" s="761"/>
      <c r="U6" s="761" t="s">
        <v>68</v>
      </c>
    </row>
    <row r="7" spans="1:21" ht="22.5" customHeight="1" x14ac:dyDescent="0.4">
      <c r="A7" s="121"/>
      <c r="B7" s="141"/>
      <c r="C7" s="468"/>
      <c r="D7" s="756" t="s">
        <v>277</v>
      </c>
      <c r="E7" s="757"/>
      <c r="F7" s="757"/>
      <c r="G7" s="201"/>
      <c r="H7" s="144"/>
      <c r="I7" s="758" t="s">
        <v>285</v>
      </c>
      <c r="J7" s="758"/>
      <c r="K7" s="758"/>
      <c r="L7" s="610"/>
      <c r="M7" s="149"/>
      <c r="N7" s="141"/>
      <c r="O7" s="121"/>
      <c r="P7" s="127"/>
      <c r="Q7" s="321" t="s">
        <v>281</v>
      </c>
      <c r="R7" s="324">
        <v>0</v>
      </c>
      <c r="S7" s="761" t="s">
        <v>282</v>
      </c>
      <c r="T7" s="761"/>
      <c r="U7" s="761"/>
    </row>
    <row r="8" spans="1:21" ht="22.5" customHeight="1" x14ac:dyDescent="0.3">
      <c r="A8" s="121"/>
      <c r="B8" s="141"/>
      <c r="C8" s="468"/>
      <c r="D8" s="757"/>
      <c r="E8" s="757"/>
      <c r="F8" s="757"/>
      <c r="G8" s="201"/>
      <c r="H8" s="325"/>
      <c r="I8" s="758"/>
      <c r="J8" s="758"/>
      <c r="K8" s="758"/>
      <c r="L8" s="610"/>
      <c r="M8" s="224"/>
      <c r="N8" s="141"/>
      <c r="O8" s="121"/>
      <c r="P8" s="127"/>
      <c r="Q8" s="321" t="s">
        <v>72</v>
      </c>
      <c r="R8" s="221" t="s">
        <v>73</v>
      </c>
      <c r="S8" s="326" t="s">
        <v>74</v>
      </c>
      <c r="T8" s="327"/>
      <c r="U8" s="328"/>
    </row>
    <row r="9" spans="1:21" ht="22.5" customHeight="1" x14ac:dyDescent="0.25">
      <c r="A9" s="121"/>
      <c r="B9" s="141"/>
      <c r="C9" s="153"/>
      <c r="D9" s="757"/>
      <c r="E9" s="757"/>
      <c r="F9" s="757"/>
      <c r="G9" s="201"/>
      <c r="H9" s="325"/>
      <c r="I9" s="758"/>
      <c r="J9" s="758"/>
      <c r="K9" s="758"/>
      <c r="L9" s="610"/>
      <c r="M9" s="155"/>
      <c r="N9" s="141"/>
      <c r="O9" s="121"/>
      <c r="P9" s="127"/>
      <c r="Q9" s="321" t="s">
        <v>75</v>
      </c>
      <c r="R9" s="329" t="s">
        <v>76</v>
      </c>
      <c r="S9" s="327"/>
      <c r="T9" s="327"/>
      <c r="U9" s="328"/>
    </row>
    <row r="10" spans="1:21" ht="22.5" customHeight="1" x14ac:dyDescent="0.3">
      <c r="A10" s="121"/>
      <c r="B10" s="141"/>
      <c r="C10" s="468"/>
      <c r="D10" s="757"/>
      <c r="E10" s="757"/>
      <c r="F10" s="757"/>
      <c r="G10" s="201"/>
      <c r="H10" s="325"/>
      <c r="I10" s="758"/>
      <c r="J10" s="758"/>
      <c r="K10" s="758"/>
      <c r="L10" s="610"/>
      <c r="M10" s="155"/>
      <c r="N10" s="141"/>
      <c r="O10" s="121"/>
      <c r="P10" s="127"/>
      <c r="Q10" s="321" t="s">
        <v>77</v>
      </c>
      <c r="R10" s="221" t="s">
        <v>78</v>
      </c>
      <c r="S10" s="327"/>
      <c r="T10" s="327"/>
      <c r="U10" s="328"/>
    </row>
    <row r="11" spans="1:21" ht="22.5" customHeight="1" x14ac:dyDescent="0.3">
      <c r="A11" s="121"/>
      <c r="B11" s="141"/>
      <c r="C11" s="468"/>
      <c r="D11" s="757"/>
      <c r="E11" s="757"/>
      <c r="F11" s="757"/>
      <c r="G11" s="201"/>
      <c r="H11" s="325"/>
      <c r="I11" s="758"/>
      <c r="J11" s="758"/>
      <c r="K11" s="758"/>
      <c r="L11" s="610"/>
      <c r="M11" s="155"/>
      <c r="N11" s="141"/>
      <c r="O11" s="121"/>
      <c r="P11" s="127"/>
      <c r="Q11" s="321" t="s">
        <v>79</v>
      </c>
      <c r="R11" s="330" t="s">
        <v>80</v>
      </c>
      <c r="S11" s="331"/>
      <c r="T11" s="327"/>
      <c r="U11" s="328"/>
    </row>
    <row r="12" spans="1:21" ht="22.5" customHeight="1" x14ac:dyDescent="0.3">
      <c r="A12" s="121"/>
      <c r="B12" s="141"/>
      <c r="C12" s="468"/>
      <c r="D12" s="757"/>
      <c r="E12" s="757"/>
      <c r="F12" s="757"/>
      <c r="G12" s="201"/>
      <c r="H12" s="325"/>
      <c r="I12" s="758"/>
      <c r="J12" s="758"/>
      <c r="K12" s="758"/>
      <c r="L12" s="610"/>
      <c r="M12" s="155"/>
      <c r="N12" s="141"/>
      <c r="O12" s="121"/>
      <c r="P12" s="127"/>
      <c r="Q12" s="210"/>
      <c r="R12" s="210"/>
      <c r="S12" s="210"/>
      <c r="T12" s="210"/>
      <c r="U12" s="210"/>
    </row>
    <row r="13" spans="1:21" ht="22.5" customHeight="1" x14ac:dyDescent="0.3">
      <c r="A13" s="121"/>
      <c r="B13" s="141"/>
      <c r="C13" s="468"/>
      <c r="D13" s="757"/>
      <c r="E13" s="757"/>
      <c r="F13" s="757"/>
      <c r="G13" s="201"/>
      <c r="H13" s="325"/>
      <c r="I13" s="758"/>
      <c r="J13" s="758"/>
      <c r="K13" s="758"/>
      <c r="L13" s="610"/>
      <c r="M13" s="155"/>
      <c r="N13" s="141"/>
      <c r="O13" s="121"/>
      <c r="P13" s="127"/>
      <c r="Q13" s="210"/>
      <c r="R13" s="210"/>
      <c r="S13" s="210"/>
      <c r="T13" s="210"/>
      <c r="U13" s="210"/>
    </row>
    <row r="14" spans="1:21" ht="15" customHeight="1" x14ac:dyDescent="0.3">
      <c r="A14" s="121"/>
      <c r="B14" s="141"/>
      <c r="C14" s="153"/>
      <c r="D14" s="201"/>
      <c r="E14" s="201"/>
      <c r="F14" s="201"/>
      <c r="G14" s="201"/>
      <c r="H14" s="325"/>
      <c r="I14" s="469"/>
      <c r="J14" s="470" t="s">
        <v>132</v>
      </c>
      <c r="K14" s="470"/>
      <c r="L14" s="470"/>
      <c r="M14" s="155"/>
      <c r="N14" s="141"/>
      <c r="O14" s="121"/>
      <c r="P14" s="127"/>
      <c r="Q14" s="210"/>
      <c r="R14" s="210"/>
      <c r="S14" s="210"/>
      <c r="T14" s="210"/>
      <c r="U14" s="210"/>
    </row>
    <row r="15" spans="1:21" x14ac:dyDescent="0.25">
      <c r="A15" s="121"/>
      <c r="B15" s="141"/>
      <c r="C15" s="156"/>
      <c r="D15" s="156"/>
      <c r="E15" s="156"/>
      <c r="F15" s="156"/>
      <c r="G15" s="334"/>
      <c r="H15" s="157"/>
      <c r="I15" s="471"/>
      <c r="J15" s="156"/>
      <c r="K15" s="156"/>
      <c r="L15" s="156"/>
      <c r="M15" s="156"/>
      <c r="N15" s="141"/>
      <c r="O15" s="121"/>
      <c r="P15" s="127"/>
      <c r="Q15" s="210"/>
      <c r="R15" s="210"/>
      <c r="S15" s="210"/>
      <c r="T15" s="210"/>
      <c r="U15" s="210"/>
    </row>
    <row r="16" spans="1:21" ht="6" customHeight="1" x14ac:dyDescent="0.25">
      <c r="A16" s="121"/>
      <c r="B16" s="121"/>
      <c r="C16" s="121"/>
      <c r="D16" s="121"/>
      <c r="E16" s="121"/>
      <c r="F16" s="121"/>
      <c r="G16" s="123"/>
      <c r="H16" s="124"/>
      <c r="I16" s="472"/>
      <c r="J16" s="121"/>
      <c r="K16" s="121"/>
      <c r="L16" s="121"/>
      <c r="M16" s="121"/>
      <c r="N16" s="121"/>
      <c r="O16" s="121"/>
      <c r="P16" s="127"/>
      <c r="Q16" s="210"/>
      <c r="R16" s="210"/>
      <c r="S16" s="210"/>
      <c r="T16" s="210"/>
      <c r="U16" s="210"/>
    </row>
    <row r="17" spans="1:21" x14ac:dyDescent="0.25">
      <c r="A17" s="121"/>
      <c r="B17" s="141"/>
      <c r="C17" s="141"/>
      <c r="D17" s="141"/>
      <c r="E17" s="141"/>
      <c r="F17" s="141"/>
      <c r="G17" s="319"/>
      <c r="H17" s="198"/>
      <c r="I17" s="467"/>
      <c r="J17" s="141"/>
      <c r="K17" s="141"/>
      <c r="L17" s="141"/>
      <c r="M17" s="141"/>
      <c r="N17" s="141"/>
      <c r="O17" s="121"/>
      <c r="P17" s="127"/>
      <c r="Q17" s="340"/>
      <c r="R17" s="341"/>
      <c r="S17" s="341"/>
      <c r="T17" s="473"/>
      <c r="U17" s="210"/>
    </row>
    <row r="18" spans="1:21" x14ac:dyDescent="0.25">
      <c r="A18" s="121"/>
      <c r="B18" s="141"/>
      <c r="C18" s="292"/>
      <c r="D18" s="293"/>
      <c r="E18" s="293"/>
      <c r="F18" s="294"/>
      <c r="G18" s="338"/>
      <c r="H18" s="295"/>
      <c r="I18" s="474"/>
      <c r="J18" s="293"/>
      <c r="K18" s="293"/>
      <c r="L18" s="293"/>
      <c r="M18" s="162"/>
      <c r="N18" s="141"/>
      <c r="O18" s="121"/>
      <c r="P18" s="127"/>
      <c r="Q18" s="340" t="s">
        <v>81</v>
      </c>
      <c r="R18" s="210"/>
      <c r="S18" s="210"/>
      <c r="T18" s="210"/>
      <c r="U18" s="210"/>
    </row>
    <row r="19" spans="1:21" ht="21" x14ac:dyDescent="0.25">
      <c r="A19" s="343"/>
      <c r="B19" s="344"/>
      <c r="C19" s="345"/>
      <c r="D19" s="346"/>
      <c r="E19" s="347" t="str">
        <f>"Beregning "&amp;P19</f>
        <v>Beregning 1</v>
      </c>
      <c r="F19" s="346"/>
      <c r="G19" s="346"/>
      <c r="H19" s="349"/>
      <c r="I19" s="475"/>
      <c r="J19" s="476"/>
      <c r="K19" s="346"/>
      <c r="L19" s="346"/>
      <c r="M19" s="351"/>
      <c r="N19" s="344"/>
      <c r="O19" s="343"/>
      <c r="P19" s="352">
        <f>COUNTIF($D$16:D20,"tiltaket")</f>
        <v>1</v>
      </c>
      <c r="Q19" s="353" t="s">
        <v>83</v>
      </c>
      <c r="R19" s="353" t="s">
        <v>84</v>
      </c>
      <c r="S19" s="353" t="s">
        <v>85</v>
      </c>
      <c r="T19" s="353" t="s">
        <v>86</v>
      </c>
      <c r="U19" s="354"/>
    </row>
    <row r="20" spans="1:21" ht="21" x14ac:dyDescent="0.35">
      <c r="A20" s="343"/>
      <c r="B20" s="344"/>
      <c r="C20" s="345"/>
      <c r="D20" s="477" t="s">
        <v>88</v>
      </c>
      <c r="E20" s="478"/>
      <c r="F20" s="478"/>
      <c r="G20" s="478"/>
      <c r="H20" s="361"/>
      <c r="I20" s="349"/>
      <c r="J20" s="352"/>
      <c r="K20" s="346"/>
      <c r="L20" s="346"/>
      <c r="M20" s="351"/>
      <c r="N20" s="344"/>
      <c r="O20" s="343"/>
      <c r="P20" s="363"/>
      <c r="Q20" s="365"/>
      <c r="R20" s="365"/>
      <c r="S20" s="365"/>
      <c r="T20" s="365"/>
      <c r="U20" s="354"/>
    </row>
    <row r="21" spans="1:21" ht="8.1" customHeight="1" x14ac:dyDescent="0.25">
      <c r="A21" s="121"/>
      <c r="B21" s="158"/>
      <c r="C21" s="366"/>
      <c r="D21" s="367"/>
      <c r="E21" s="219"/>
      <c r="F21" s="219"/>
      <c r="G21" s="219"/>
      <c r="H21" s="369"/>
      <c r="I21" s="479"/>
      <c r="J21" s="376"/>
      <c r="K21" s="376"/>
      <c r="L21" s="376"/>
      <c r="M21" s="377"/>
      <c r="N21" s="158"/>
      <c r="O21" s="121"/>
      <c r="P21" s="219"/>
      <c r="Q21" s="402"/>
      <c r="R21" s="402"/>
      <c r="S21" s="402"/>
      <c r="T21" s="402"/>
      <c r="U21" s="354"/>
    </row>
    <row r="22" spans="1:21" ht="15.75" x14ac:dyDescent="0.3">
      <c r="A22" s="121"/>
      <c r="B22" s="141"/>
      <c r="C22" s="163"/>
      <c r="D22" s="247"/>
      <c r="E22" s="373" t="s">
        <v>89</v>
      </c>
      <c r="F22" s="645"/>
      <c r="G22" s="250" t="s">
        <v>90</v>
      </c>
      <c r="H22" s="375"/>
      <c r="I22" s="480" t="str">
        <f>S22</f>
        <v xml:space="preserve">*obligatorisk </v>
      </c>
      <c r="J22" s="481"/>
      <c r="K22" s="376"/>
      <c r="L22" s="376"/>
      <c r="M22" s="377"/>
      <c r="N22" s="158"/>
      <c r="O22" s="121"/>
      <c r="P22" s="575" t="str">
        <f>P19&amp;"a"</f>
        <v>1a</v>
      </c>
      <c r="Q22" s="482" t="str">
        <f>D20</f>
        <v>Tiltaket</v>
      </c>
      <c r="R22" s="483"/>
      <c r="S22" s="482" t="str" cm="1">
        <f t="array" ref="S22">_xlfn.IFS(F22="",$R$8,TRUE,"")</f>
        <v xml:space="preserve">*obligatorisk </v>
      </c>
      <c r="T22" s="482"/>
      <c r="U22" s="210"/>
    </row>
    <row r="23" spans="1:21" ht="6.75" customHeight="1" x14ac:dyDescent="0.25">
      <c r="A23" s="121"/>
      <c r="B23" s="141"/>
      <c r="C23" s="163"/>
      <c r="D23" s="247"/>
      <c r="E23" s="382"/>
      <c r="F23" s="382"/>
      <c r="G23" s="374"/>
      <c r="H23" s="375"/>
      <c r="I23" s="480"/>
      <c r="J23" s="376"/>
      <c r="K23" s="376"/>
      <c r="L23" s="376"/>
      <c r="M23" s="377"/>
      <c r="N23" s="158"/>
      <c r="O23" s="121"/>
      <c r="P23" s="219"/>
      <c r="Q23" s="402"/>
      <c r="R23" s="484"/>
      <c r="S23" s="402"/>
      <c r="T23" s="402"/>
      <c r="U23" s="210"/>
    </row>
    <row r="24" spans="1:21" x14ac:dyDescent="0.25">
      <c r="A24" s="121"/>
      <c r="B24" s="141"/>
      <c r="C24" s="163"/>
      <c r="D24" s="247"/>
      <c r="E24" s="384" t="s">
        <v>92</v>
      </c>
      <c r="F24" s="485"/>
      <c r="G24" s="385"/>
      <c r="H24" s="380"/>
      <c r="I24" s="420"/>
      <c r="J24" s="362"/>
      <c r="K24" s="362"/>
      <c r="L24" s="362"/>
      <c r="M24" s="381"/>
      <c r="N24" s="141"/>
      <c r="O24" s="121"/>
      <c r="P24" s="127"/>
      <c r="Q24" s="402"/>
      <c r="R24" s="484"/>
      <c r="S24" s="402"/>
      <c r="T24" s="402"/>
      <c r="U24" s="210"/>
    </row>
    <row r="25" spans="1:21" ht="15.75" thickBot="1" x14ac:dyDescent="0.3">
      <c r="A25" s="121"/>
      <c r="B25" s="141"/>
      <c r="C25" s="163"/>
      <c r="D25" s="247"/>
      <c r="E25" s="486" t="s">
        <v>133</v>
      </c>
      <c r="F25" s="646"/>
      <c r="G25" s="374" t="s">
        <v>90</v>
      </c>
      <c r="H25" s="380"/>
      <c r="I25" s="480" t="str">
        <f t="shared" ref="I25" si="0">S25</f>
        <v xml:space="preserve">*obligatorisk </v>
      </c>
      <c r="J25" s="362"/>
      <c r="K25" s="388"/>
      <c r="L25" s="388"/>
      <c r="M25" s="381"/>
      <c r="N25" s="141"/>
      <c r="O25" s="121"/>
      <c r="P25" s="487"/>
      <c r="Q25" s="253" t="str">
        <f>E25</f>
        <v>årstimer tilrådt av PPT (à 60 minutter)</v>
      </c>
      <c r="R25" s="488">
        <f>F25</f>
        <v>0</v>
      </c>
      <c r="S25" s="253" t="str" cm="1">
        <f t="array" ref="S25">_xlfn.IFS(F25="",$R$8,F25=0,$R$10,TRUE,"")</f>
        <v xml:space="preserve">*obligatorisk </v>
      </c>
      <c r="T25" s="253" t="s">
        <v>87</v>
      </c>
      <c r="U25" s="210"/>
    </row>
    <row r="26" spans="1:21" ht="15.75" thickTop="1" x14ac:dyDescent="0.25">
      <c r="A26" s="121"/>
      <c r="B26" s="141"/>
      <c r="C26" s="163"/>
      <c r="D26" s="247"/>
      <c r="E26" s="486" t="s">
        <v>134</v>
      </c>
      <c r="F26" s="647"/>
      <c r="G26" s="374" t="s">
        <v>90</v>
      </c>
      <c r="H26" s="380"/>
      <c r="I26" s="480" t="str">
        <f>S26</f>
        <v xml:space="preserve">*obligatorisk </v>
      </c>
      <c r="J26" s="362"/>
      <c r="K26" s="362"/>
      <c r="L26" s="362"/>
      <c r="M26" s="381"/>
      <c r="N26" s="141"/>
      <c r="O26" s="121"/>
      <c r="P26" s="127"/>
      <c r="Q26" s="253" t="str">
        <f>E26</f>
        <v>undervisningstimer i periode totalt</v>
      </c>
      <c r="R26" s="488">
        <f>F26</f>
        <v>0</v>
      </c>
      <c r="S26" s="253" t="str" cm="1">
        <f t="array" ref="S26">_xlfn.IFS(F26="",$R$8,F25=0,"",F26&gt;F25,$R$10,TRUE,"")</f>
        <v xml:space="preserve">*obligatorisk </v>
      </c>
      <c r="T26" s="253" t="s">
        <v>87</v>
      </c>
      <c r="U26" s="210"/>
    </row>
    <row r="27" spans="1:21" ht="8.1" customHeight="1" x14ac:dyDescent="0.25">
      <c r="A27" s="121"/>
      <c r="B27" s="141"/>
      <c r="C27" s="163"/>
      <c r="D27" s="256"/>
      <c r="E27" s="398"/>
      <c r="F27" s="398"/>
      <c r="G27" s="399"/>
      <c r="H27" s="400"/>
      <c r="I27" s="420"/>
      <c r="J27" s="362"/>
      <c r="K27" s="362"/>
      <c r="L27" s="362"/>
      <c r="M27" s="381"/>
      <c r="N27" s="141"/>
      <c r="O27" s="121"/>
      <c r="P27" s="127"/>
      <c r="Q27" s="402"/>
      <c r="R27" s="484"/>
      <c r="S27" s="402"/>
      <c r="T27" s="402"/>
      <c r="U27" s="210"/>
    </row>
    <row r="28" spans="1:21" x14ac:dyDescent="0.25">
      <c r="A28" s="121"/>
      <c r="B28" s="141"/>
      <c r="C28" s="163"/>
      <c r="D28" s="164"/>
      <c r="E28" s="382"/>
      <c r="F28" s="382"/>
      <c r="G28" s="401"/>
      <c r="H28" s="382"/>
      <c r="I28" s="420"/>
      <c r="J28" s="362"/>
      <c r="K28" s="362"/>
      <c r="L28" s="362"/>
      <c r="M28" s="381"/>
      <c r="N28" s="141"/>
      <c r="O28" s="121"/>
      <c r="P28" s="127"/>
      <c r="Q28" s="402"/>
      <c r="R28" s="484"/>
      <c r="S28" s="402"/>
      <c r="T28" s="402"/>
      <c r="U28" s="210"/>
    </row>
    <row r="29" spans="1:21" ht="21" x14ac:dyDescent="0.35">
      <c r="A29" s="343"/>
      <c r="B29" s="344"/>
      <c r="C29" s="345"/>
      <c r="D29" s="477" t="s">
        <v>102</v>
      </c>
      <c r="E29" s="478"/>
      <c r="F29" s="478"/>
      <c r="G29" s="478"/>
      <c r="H29" s="361"/>
      <c r="I29" s="489"/>
      <c r="J29" s="352"/>
      <c r="K29" s="352"/>
      <c r="L29" s="352"/>
      <c r="M29" s="490"/>
      <c r="N29" s="344"/>
      <c r="O29" s="343"/>
      <c r="P29" s="352"/>
      <c r="Q29" s="402"/>
      <c r="R29" s="484"/>
      <c r="S29" s="402"/>
      <c r="T29" s="402"/>
      <c r="U29" s="354"/>
    </row>
    <row r="30" spans="1:21" ht="8.1" customHeight="1" x14ac:dyDescent="0.25">
      <c r="A30" s="121"/>
      <c r="B30" s="158"/>
      <c r="C30" s="366"/>
      <c r="D30" s="404"/>
      <c r="E30" s="405"/>
      <c r="F30" s="219"/>
      <c r="G30" s="219"/>
      <c r="H30" s="369"/>
      <c r="I30" s="479"/>
      <c r="J30" s="219"/>
      <c r="K30" s="219"/>
      <c r="L30" s="219"/>
      <c r="M30" s="371"/>
      <c r="N30" s="158"/>
      <c r="O30" s="121"/>
      <c r="P30" s="219"/>
      <c r="Q30" s="402"/>
      <c r="R30" s="484"/>
      <c r="S30" s="402"/>
      <c r="T30" s="402"/>
      <c r="U30" s="354"/>
    </row>
    <row r="31" spans="1:21" x14ac:dyDescent="0.25">
      <c r="A31" s="121"/>
      <c r="B31" s="141"/>
      <c r="C31" s="163"/>
      <c r="D31" s="247"/>
      <c r="E31" s="373" t="s">
        <v>103</v>
      </c>
      <c r="F31" s="651"/>
      <c r="G31" s="374" t="s">
        <v>90</v>
      </c>
      <c r="H31" s="380"/>
      <c r="I31" s="480" t="str">
        <f t="shared" ref="I31:I33" si="1">S31</f>
        <v xml:space="preserve">*obligatorisk </v>
      </c>
      <c r="J31" s="362"/>
      <c r="K31" s="362"/>
      <c r="L31" s="362"/>
      <c r="M31" s="381"/>
      <c r="N31" s="141"/>
      <c r="O31" s="121"/>
      <c r="P31" s="575" t="str">
        <f>P19&amp;"b"</f>
        <v>1b</v>
      </c>
      <c r="Q31" s="253" t="str">
        <f>E31</f>
        <v>stillingstittel</v>
      </c>
      <c r="R31" s="378"/>
      <c r="S31" s="253" t="str" cm="1">
        <f t="array" ref="S31">_xlfn.IFS(F31="",$R$8,F31=Innstillinger!$B$8,$R$8,TRUE,"")</f>
        <v xml:space="preserve">*obligatorisk </v>
      </c>
      <c r="T31" s="253"/>
      <c r="U31" s="210"/>
    </row>
    <row r="32" spans="1:21" ht="16.5" customHeight="1" thickBot="1" x14ac:dyDescent="0.35">
      <c r="A32" s="121"/>
      <c r="B32" s="141"/>
      <c r="C32" s="491"/>
      <c r="D32" s="492"/>
      <c r="E32" s="373" t="s">
        <v>135</v>
      </c>
      <c r="F32" s="642"/>
      <c r="G32" s="493" t="s">
        <v>90</v>
      </c>
      <c r="H32" s="494"/>
      <c r="I32" s="480" t="str">
        <f t="shared" si="1"/>
        <v xml:space="preserve">*obligatorisk </v>
      </c>
      <c r="J32" s="495"/>
      <c r="K32" s="496"/>
      <c r="L32" s="496"/>
      <c r="M32" s="166"/>
      <c r="N32" s="141"/>
      <c r="O32" s="121"/>
      <c r="P32" s="127"/>
      <c r="Q32" s="253" t="str">
        <f t="shared" ref="Q32:Q34" si="2">E32</f>
        <v>område</v>
      </c>
      <c r="R32" s="497">
        <f>F32</f>
        <v>0</v>
      </c>
      <c r="S32" s="253" t="str" cm="1">
        <f t="array" ref="S32">_xlfn.IFS(F32="",$R$8,F32=Innstillinger!$B$8,$R$8,TRUE,"")</f>
        <v xml:space="preserve">*obligatorisk </v>
      </c>
      <c r="T32" s="253" t="s">
        <v>87</v>
      </c>
      <c r="U32" s="210"/>
    </row>
    <row r="33" spans="1:21" ht="17.25" thickTop="1" thickBot="1" x14ac:dyDescent="0.35">
      <c r="A33" s="121"/>
      <c r="B33" s="141"/>
      <c r="C33" s="491"/>
      <c r="D33" s="492"/>
      <c r="E33" s="373" t="s">
        <v>136</v>
      </c>
      <c r="F33" s="641" t="s">
        <v>129</v>
      </c>
      <c r="G33" s="498" t="s">
        <v>90</v>
      </c>
      <c r="H33" s="494"/>
      <c r="I33" s="480" t="str">
        <f t="shared" si="1"/>
        <v xml:space="preserve">*obligatorisk </v>
      </c>
      <c r="J33" s="499"/>
      <c r="K33" s="496"/>
      <c r="L33" s="496"/>
      <c r="M33" s="166"/>
      <c r="N33" s="141"/>
      <c r="O33" s="121"/>
      <c r="P33" s="127"/>
      <c r="Q33" s="253" t="str">
        <f t="shared" si="2"/>
        <v>årsramme (à 60 minutter)</v>
      </c>
      <c r="R33" s="497">
        <f>IF(F33=Innstillinger!$B$25,F34,_xlfn.XLOOKUP(F33,Innstillinger!$B$20:$B$24,Innstillinger!$C$20:$C$24,0))</f>
        <v>0</v>
      </c>
      <c r="S33" s="253" t="str" cm="1">
        <f t="array" ref="S33">_xlfn.IFS(F33="",$R$8,F33=Innstillinger!$B$8,$R$8,TRUE,"")</f>
        <v xml:space="preserve">*obligatorisk </v>
      </c>
      <c r="T33" s="253" t="s">
        <v>87</v>
      </c>
      <c r="U33" s="210"/>
    </row>
    <row r="34" spans="1:21" ht="17.25" customHeight="1" thickTop="1" x14ac:dyDescent="0.3">
      <c r="A34" s="121"/>
      <c r="B34" s="141"/>
      <c r="C34" s="491"/>
      <c r="D34" s="492"/>
      <c r="E34" s="500" t="s">
        <v>137</v>
      </c>
      <c r="F34" s="83"/>
      <c r="G34" s="501"/>
      <c r="H34" s="494"/>
      <c r="I34" s="480" t="str">
        <f>S34</f>
        <v/>
      </c>
      <c r="J34" s="502"/>
      <c r="K34" s="496"/>
      <c r="L34" s="496"/>
      <c r="M34" s="166"/>
      <c r="N34" s="141"/>
      <c r="O34" s="121"/>
      <c r="P34" s="127"/>
      <c r="Q34" s="253" t="str">
        <f t="shared" si="2"/>
        <v>Finn riktig årsramme her</v>
      </c>
      <c r="R34" s="378"/>
      <c r="S34" s="253" t="str" cm="1">
        <f t="array" ref="S34">_xlfn.IFS(AND(F34="",F33=Innstillinger!$B$25),$R$8&amp;"; "&amp;T34,TRUE,"")</f>
        <v/>
      </c>
      <c r="T34" s="253" t="s">
        <v>138</v>
      </c>
      <c r="U34" s="210" t="s">
        <v>87</v>
      </c>
    </row>
    <row r="35" spans="1:21" ht="8.1" customHeight="1" x14ac:dyDescent="0.25">
      <c r="A35" s="121"/>
      <c r="B35" s="158"/>
      <c r="C35" s="366"/>
      <c r="D35" s="404"/>
      <c r="E35" s="405"/>
      <c r="F35" s="219"/>
      <c r="G35" s="219"/>
      <c r="H35" s="369"/>
      <c r="I35" s="479"/>
      <c r="J35" s="219"/>
      <c r="K35" s="219"/>
      <c r="L35" s="219"/>
      <c r="M35" s="371"/>
      <c r="N35" s="158"/>
      <c r="O35" s="121"/>
      <c r="P35" s="219"/>
      <c r="Q35" s="402"/>
      <c r="R35" s="484"/>
      <c r="S35" s="402"/>
      <c r="T35" s="402"/>
      <c r="U35" s="210"/>
    </row>
    <row r="36" spans="1:21" x14ac:dyDescent="0.25">
      <c r="A36" s="121"/>
      <c r="B36" s="141"/>
      <c r="C36" s="163"/>
      <c r="D36" s="247"/>
      <c r="E36" s="384" t="s">
        <v>139</v>
      </c>
      <c r="F36" s="409"/>
      <c r="G36" s="374"/>
      <c r="H36" s="380"/>
      <c r="I36" s="420"/>
      <c r="J36" s="362"/>
      <c r="K36" s="362"/>
      <c r="L36" s="362"/>
      <c r="M36" s="381"/>
      <c r="N36" s="141"/>
      <c r="O36" s="121"/>
      <c r="P36" s="127"/>
      <c r="Q36" s="402"/>
      <c r="R36" s="484"/>
      <c r="S36" s="402"/>
      <c r="T36" s="402"/>
      <c r="U36" s="210"/>
    </row>
    <row r="37" spans="1:21" ht="15.75" thickBot="1" x14ac:dyDescent="0.3">
      <c r="A37" s="121"/>
      <c r="B37" s="141"/>
      <c r="C37" s="163"/>
      <c r="D37" s="247"/>
      <c r="E37" s="373" t="s">
        <v>108</v>
      </c>
      <c r="F37" s="650"/>
      <c r="G37" s="503" t="s">
        <v>90</v>
      </c>
      <c r="H37" s="504"/>
      <c r="I37" s="480" t="str">
        <f>S37</f>
        <v xml:space="preserve">*obligatorisk </v>
      </c>
      <c r="J37" s="362"/>
      <c r="K37" s="386"/>
      <c r="L37" s="386"/>
      <c r="M37" s="381"/>
      <c r="N37" s="141"/>
      <c r="O37" s="121"/>
      <c r="P37" s="127"/>
      <c r="Q37" s="253" t="str">
        <f>E37</f>
        <v>årslønn for full stilling</v>
      </c>
      <c r="R37" s="505">
        <f>F37</f>
        <v>0</v>
      </c>
      <c r="S37" s="253" t="str" cm="1">
        <f t="array" ref="S37">_xlfn.IFS(R37=0,$R$8,ISERROR(R45)=TRUE,"",R45&gt;$R$6,$R$10,TRUE,"")</f>
        <v xml:space="preserve">*obligatorisk </v>
      </c>
      <c r="T37" s="253" t="s">
        <v>87</v>
      </c>
      <c r="U37" s="210"/>
    </row>
    <row r="38" spans="1:21" ht="16.5" thickTop="1" thickBot="1" x14ac:dyDescent="0.3">
      <c r="A38" s="121"/>
      <c r="B38" s="141"/>
      <c r="C38" s="163"/>
      <c r="D38" s="247"/>
      <c r="E38" s="373" t="s">
        <v>115</v>
      </c>
      <c r="F38" s="643" t="s">
        <v>129</v>
      </c>
      <c r="G38" s="374" t="s">
        <v>90</v>
      </c>
      <c r="H38" s="380"/>
      <c r="I38" s="480" t="str">
        <f t="shared" ref="I38:I41" si="3">S38</f>
        <v xml:space="preserve">*obligatorisk </v>
      </c>
      <c r="J38" s="421"/>
      <c r="K38" s="421"/>
      <c r="L38" s="421"/>
      <c r="M38" s="381"/>
      <c r="N38" s="141"/>
      <c r="O38" s="121"/>
      <c r="P38" s="127"/>
      <c r="Q38" s="253" t="str">
        <f>E38</f>
        <v>sats feriepenger</v>
      </c>
      <c r="R38" s="506" t="str">
        <f>F38</f>
        <v>Velg fra liste….</v>
      </c>
      <c r="S38" s="253" t="str" cm="1">
        <f t="array" ref="S38">_xlfn.IFS(F38="",$R$8,F38=Innstillinger!$B$8,$R$8,TRUE,"")</f>
        <v xml:space="preserve">*obligatorisk </v>
      </c>
      <c r="T38" s="253" t="s">
        <v>87</v>
      </c>
      <c r="U38" s="210"/>
    </row>
    <row r="39" spans="1:21" ht="16.5" thickTop="1" thickBot="1" x14ac:dyDescent="0.3">
      <c r="A39" s="121"/>
      <c r="B39" s="141"/>
      <c r="C39" s="163"/>
      <c r="D39" s="247"/>
      <c r="E39" s="373" t="s">
        <v>116</v>
      </c>
      <c r="F39" s="648">
        <v>0.11</v>
      </c>
      <c r="G39" s="374" t="s">
        <v>90</v>
      </c>
      <c r="H39" s="573"/>
      <c r="I39" s="237"/>
      <c r="J39" s="362"/>
      <c r="K39" s="423"/>
      <c r="L39" s="423"/>
      <c r="M39" s="381"/>
      <c r="N39" s="141"/>
      <c r="O39" s="121"/>
      <c r="P39" s="127"/>
      <c r="Q39" s="253" t="s">
        <v>116</v>
      </c>
      <c r="R39" s="422">
        <f>F39+F40</f>
        <v>0.09</v>
      </c>
      <c r="S39" s="253"/>
      <c r="T39" s="379" t="s">
        <v>87</v>
      </c>
      <c r="U39" s="210" t="s">
        <v>87</v>
      </c>
    </row>
    <row r="40" spans="1:21" ht="16.5" thickTop="1" thickBot="1" x14ac:dyDescent="0.3">
      <c r="A40" s="121"/>
      <c r="B40" s="141"/>
      <c r="C40" s="163"/>
      <c r="D40" s="247"/>
      <c r="E40" s="413" t="s">
        <v>279</v>
      </c>
      <c r="F40" s="649">
        <v>-0.02</v>
      </c>
      <c r="G40" s="374" t="s">
        <v>90</v>
      </c>
      <c r="H40" s="573"/>
      <c r="I40" s="480" t="str">
        <f t="shared" si="3"/>
        <v/>
      </c>
      <c r="J40" s="362"/>
      <c r="K40" s="423"/>
      <c r="L40" s="423"/>
      <c r="M40" s="381"/>
      <c r="N40" s="141"/>
      <c r="O40" s="121"/>
      <c r="P40" s="127"/>
      <c r="Q40" s="253"/>
      <c r="R40" s="422"/>
      <c r="S40" s="253" t="str" cm="1">
        <f t="array" ref="S40">_xlfn.IFS(F40=0%,$R$10,TRUE,"")</f>
        <v/>
      </c>
      <c r="T40" s="379"/>
      <c r="U40" s="210"/>
    </row>
    <row r="41" spans="1:21" ht="15.75" thickTop="1" x14ac:dyDescent="0.25">
      <c r="A41" s="121"/>
      <c r="B41" s="141"/>
      <c r="C41" s="163"/>
      <c r="D41" s="247"/>
      <c r="E41" s="424" t="s">
        <v>117</v>
      </c>
      <c r="F41" s="644" t="s">
        <v>129</v>
      </c>
      <c r="G41" s="374" t="s">
        <v>90</v>
      </c>
      <c r="H41" s="380"/>
      <c r="I41" s="480" t="str">
        <f t="shared" si="3"/>
        <v xml:space="preserve">*obligatorisk </v>
      </c>
      <c r="J41" s="423"/>
      <c r="K41" s="237"/>
      <c r="L41" s="237"/>
      <c r="M41" s="381"/>
      <c r="N41" s="141"/>
      <c r="O41" s="121"/>
      <c r="P41" s="127"/>
      <c r="Q41" s="253" t="str">
        <f>E41</f>
        <v>sats arbeidsgiveravgift</v>
      </c>
      <c r="R41" s="506" t="str">
        <f t="shared" ref="R41" si="4">F41</f>
        <v>Velg fra liste….</v>
      </c>
      <c r="S41" s="253" t="str" cm="1">
        <f t="array" ref="S41">_xlfn.IFS(F41="",$R$8,F41=Innstillinger!$B$8,$R$8,TRUE,"")</f>
        <v xml:space="preserve">*obligatorisk </v>
      </c>
      <c r="T41" s="253"/>
      <c r="U41" s="210"/>
    </row>
    <row r="42" spans="1:21" x14ac:dyDescent="0.25">
      <c r="A42" s="121"/>
      <c r="B42" s="141"/>
      <c r="C42" s="163"/>
      <c r="D42" s="247"/>
      <c r="E42" s="417" t="s">
        <v>118</v>
      </c>
      <c r="F42" s="384"/>
      <c r="G42" s="419"/>
      <c r="H42" s="380"/>
      <c r="I42" s="507"/>
      <c r="J42" s="407"/>
      <c r="K42" s="407"/>
      <c r="L42" s="407"/>
      <c r="M42" s="381"/>
      <c r="N42" s="141"/>
      <c r="O42" s="121"/>
      <c r="P42" s="127"/>
      <c r="Q42" s="508"/>
      <c r="R42" s="509"/>
      <c r="S42" s="508"/>
      <c r="T42" s="508"/>
      <c r="U42" s="210"/>
    </row>
    <row r="43" spans="1:21" x14ac:dyDescent="0.25">
      <c r="A43" s="121"/>
      <c r="B43" s="141"/>
      <c r="C43" s="163"/>
      <c r="D43" s="247"/>
      <c r="E43" s="249"/>
      <c r="F43" s="392"/>
      <c r="G43" s="185"/>
      <c r="H43" s="380"/>
      <c r="I43" s="510"/>
      <c r="J43" s="362"/>
      <c r="K43" s="362"/>
      <c r="L43" s="362"/>
      <c r="M43" s="381"/>
      <c r="N43" s="141"/>
      <c r="O43" s="121"/>
      <c r="P43" s="127"/>
      <c r="Q43" s="426" t="s">
        <v>119</v>
      </c>
      <c r="R43" s="511" t="str" cm="1">
        <f t="array" ref="R43">_xlfn.IFS(ISERROR(R55),"Nei",COUNTIF(I22:I41,$R$8)=0,"JA",TRUE,"NEI")</f>
        <v>Nei</v>
      </c>
      <c r="S43" s="391"/>
      <c r="T43" s="512"/>
      <c r="U43" s="210" t="s">
        <v>87</v>
      </c>
    </row>
    <row r="44" spans="1:21" ht="15.75" thickBot="1" x14ac:dyDescent="0.3">
      <c r="A44" s="121"/>
      <c r="B44" s="141"/>
      <c r="C44" s="163"/>
      <c r="D44" s="247"/>
      <c r="E44" s="373" t="s">
        <v>120</v>
      </c>
      <c r="F44" s="428" t="str">
        <f>IF(R43="nei","",R44)</f>
        <v/>
      </c>
      <c r="G44" s="374"/>
      <c r="H44" s="380"/>
      <c r="I44" s="513" t="str">
        <f t="shared" ref="I44:I45" si="5">S44</f>
        <v/>
      </c>
      <c r="J44" s="430"/>
      <c r="K44" s="430"/>
      <c r="L44" s="430"/>
      <c r="M44" s="381"/>
      <c r="N44" s="141"/>
      <c r="O44" s="121"/>
      <c r="P44" s="127"/>
      <c r="Q44" s="253" t="s">
        <v>43</v>
      </c>
      <c r="R44" s="505" t="e">
        <f>IF(R32=Innstillinger!$B$16,R37*1500/R33/1687.5,R37*1400*100/R33/1687.5/112)</f>
        <v>#DIV/0!</v>
      </c>
      <c r="S44" s="253" t="str" cm="1">
        <f t="array" ref="S44">_xlfn.IFS(AND(I55=TRUE,R43="NEI"),$R$11,I55=TRUE,T44,TRUE,"")</f>
        <v/>
      </c>
      <c r="T44" s="433" t="e" cm="1">
        <f t="array" ref="T44">_xlfn.IFS(R32=Innstillinger!$B$15,"➡️ "&amp;TEXT(R44,"# ##0")&amp;" kr per time  =  "&amp;TEXT(R37,"# ##0")&amp;" kr årslønn x 1400 x 100 ÷  ("&amp;R33&amp;" ramme x 1687,5 x 112)",R32=Innstillinger!$B$16,"➡️ "&amp;TEXT(R44,"# ##0")&amp;" kr per time  =  "&amp;TEXT(R37,"# ##0")&amp;" kr årslønn x 1500 ÷  ("&amp;R33&amp;" ramme x 1687,5)")</f>
        <v>#N/A</v>
      </c>
      <c r="U44" s="210" t="s">
        <v>87</v>
      </c>
    </row>
    <row r="45" spans="1:21" ht="15.75" thickTop="1" x14ac:dyDescent="0.25">
      <c r="A45" s="121"/>
      <c r="B45" s="141"/>
      <c r="C45" s="163"/>
      <c r="D45" s="247"/>
      <c r="E45" s="373" t="s">
        <v>121</v>
      </c>
      <c r="F45" s="434" t="str">
        <f>IF(R43="nei","",R45)</f>
        <v/>
      </c>
      <c r="G45" s="374"/>
      <c r="H45" s="380"/>
      <c r="I45" s="513" t="str">
        <f t="shared" si="5"/>
        <v/>
      </c>
      <c r="J45" s="430"/>
      <c r="K45" s="435"/>
      <c r="L45" s="435"/>
      <c r="M45" s="381"/>
      <c r="N45" s="141"/>
      <c r="O45" s="121"/>
      <c r="P45" s="127"/>
      <c r="Q45" s="253" t="s">
        <v>121</v>
      </c>
      <c r="R45" s="505" t="e">
        <f>(R44*(1+R38+R39+(R38*R39))*(1+R41))</f>
        <v>#DIV/0!</v>
      </c>
      <c r="S45" s="253" t="str" cm="1">
        <f t="array" ref="S45">_xlfn.IFS(AND(I55=TRUE,R43="NEI"),$R$11,I55=TRUE,T45,TRUE,"")</f>
        <v/>
      </c>
      <c r="T45" s="433" t="e">
        <f>"➡️ "&amp;TEXT(R45,"# ##0")&amp;" kr =  "&amp;TEXT(R44,"# ##0,00")&amp;" kr timelønn, uten sosiale utgifter x  sosiale utgifter"</f>
        <v>#DIV/0!</v>
      </c>
      <c r="U45" s="210" t="s">
        <v>87</v>
      </c>
    </row>
    <row r="46" spans="1:21" x14ac:dyDescent="0.25">
      <c r="A46" s="121"/>
      <c r="B46" s="141"/>
      <c r="C46" s="163"/>
      <c r="D46" s="256"/>
      <c r="E46" s="398"/>
      <c r="F46" s="398"/>
      <c r="G46" s="399"/>
      <c r="H46" s="400"/>
      <c r="I46" s="507"/>
      <c r="J46" s="362"/>
      <c r="K46" s="423"/>
      <c r="L46" s="423"/>
      <c r="M46" s="381"/>
      <c r="N46" s="141"/>
      <c r="O46" s="121"/>
      <c r="P46" s="127"/>
      <c r="Q46" s="508"/>
      <c r="R46" s="509"/>
      <c r="S46" s="508"/>
      <c r="T46" s="508"/>
      <c r="U46" s="210" t="s">
        <v>87</v>
      </c>
    </row>
    <row r="47" spans="1:21" x14ac:dyDescent="0.25">
      <c r="A47" s="121"/>
      <c r="B47" s="141"/>
      <c r="C47" s="163"/>
      <c r="D47" s="164"/>
      <c r="E47" s="382"/>
      <c r="F47" s="382"/>
      <c r="G47" s="401"/>
      <c r="H47" s="382"/>
      <c r="I47" s="507"/>
      <c r="J47" s="362"/>
      <c r="K47" s="362"/>
      <c r="L47" s="362"/>
      <c r="M47" s="381"/>
      <c r="N47" s="141"/>
      <c r="O47" s="121"/>
      <c r="P47" s="127"/>
      <c r="Q47" s="402"/>
      <c r="R47" s="484"/>
      <c r="S47" s="402"/>
      <c r="T47" s="402"/>
      <c r="U47" s="210" t="s">
        <v>87</v>
      </c>
    </row>
    <row r="48" spans="1:21" ht="21" x14ac:dyDescent="0.35">
      <c r="A48" s="343"/>
      <c r="B48" s="344"/>
      <c r="C48" s="345"/>
      <c r="D48" s="477" t="s">
        <v>10</v>
      </c>
      <c r="E48" s="478"/>
      <c r="F48" s="478"/>
      <c r="G48" s="478"/>
      <c r="H48" s="361"/>
      <c r="I48" s="514"/>
      <c r="J48" s="352"/>
      <c r="K48" s="352"/>
      <c r="L48" s="352"/>
      <c r="M48" s="490"/>
      <c r="N48" s="344"/>
      <c r="O48" s="343"/>
      <c r="P48" s="352"/>
      <c r="Q48" s="402"/>
      <c r="R48" s="484"/>
      <c r="S48" s="402"/>
      <c r="T48" s="402"/>
      <c r="U48" s="210" t="s">
        <v>87</v>
      </c>
    </row>
    <row r="49" spans="1:21" ht="8.1" customHeight="1" x14ac:dyDescent="0.25">
      <c r="A49" s="121"/>
      <c r="B49" s="158"/>
      <c r="C49" s="366"/>
      <c r="D49" s="404"/>
      <c r="E49" s="405"/>
      <c r="F49" s="219"/>
      <c r="G49" s="219"/>
      <c r="H49" s="369"/>
      <c r="I49" s="515"/>
      <c r="J49" s="219"/>
      <c r="K49" s="219"/>
      <c r="L49" s="219"/>
      <c r="M49" s="371"/>
      <c r="N49" s="158"/>
      <c r="O49" s="121"/>
      <c r="P49" s="219"/>
      <c r="Q49" s="402"/>
      <c r="R49" s="484"/>
      <c r="S49" s="402"/>
      <c r="T49" s="402"/>
      <c r="U49" s="210" t="s">
        <v>87</v>
      </c>
    </row>
    <row r="50" spans="1:21" ht="15.75" thickBot="1" x14ac:dyDescent="0.3">
      <c r="A50" s="121"/>
      <c r="B50" s="141"/>
      <c r="C50" s="163"/>
      <c r="D50" s="247"/>
      <c r="E50" s="382" t="s">
        <v>122</v>
      </c>
      <c r="F50" s="516" t="str">
        <f>IF(R43="nei","",R50)</f>
        <v/>
      </c>
      <c r="G50" s="438"/>
      <c r="H50" s="380"/>
      <c r="I50" s="513" t="str">
        <f t="shared" ref="I50:I53" si="6">S50</f>
        <v/>
      </c>
      <c r="J50" s="439"/>
      <c r="K50" s="439"/>
      <c r="L50" s="439"/>
      <c r="M50" s="381"/>
      <c r="N50" s="141"/>
      <c r="O50" s="121"/>
      <c r="P50" s="440"/>
      <c r="Q50" s="253" t="s">
        <v>122</v>
      </c>
      <c r="R50" s="497" t="e">
        <f>R26*R44</f>
        <v>#DIV/0!</v>
      </c>
      <c r="S50" s="253" t="str" cm="1">
        <f t="array" ref="S50">_xlfn.IFS(AND(I55=TRUE,R43="NEI"),$R$11,I55=TRUE,T50,TRUE,"")</f>
        <v/>
      </c>
      <c r="T50" s="433" t="str">
        <f>"➡️ "&amp;TEXT(F50,"# ##0")&amp;" kr  =   "&amp;F26&amp;" total arbeidstimer  x  "&amp;TEXT(F44,"#,##")&amp;" kroner per time"</f>
        <v>➡️  kr  =    total arbeidstimer  x   kroner per time</v>
      </c>
      <c r="U50" s="210" t="s">
        <v>87</v>
      </c>
    </row>
    <row r="51" spans="1:21" ht="16.5" thickTop="1" thickBot="1" x14ac:dyDescent="0.3">
      <c r="A51" s="121"/>
      <c r="B51" s="141"/>
      <c r="C51" s="163"/>
      <c r="D51" s="247"/>
      <c r="E51" s="382" t="s">
        <v>33</v>
      </c>
      <c r="F51" s="516" t="str">
        <f>IF(R43="nei","",R51)</f>
        <v/>
      </c>
      <c r="G51" s="438"/>
      <c r="H51" s="380"/>
      <c r="I51" s="513" t="str">
        <f t="shared" si="6"/>
        <v/>
      </c>
      <c r="J51" s="435"/>
      <c r="K51" s="435"/>
      <c r="L51" s="435"/>
      <c r="M51" s="381"/>
      <c r="N51" s="141"/>
      <c r="O51" s="121"/>
      <c r="P51" s="440"/>
      <c r="Q51" s="253" t="s">
        <v>33</v>
      </c>
      <c r="R51" s="505" t="e">
        <f>R50*R38</f>
        <v>#DIV/0!</v>
      </c>
      <c r="S51" s="253" t="str" cm="1">
        <f t="array" ref="S51">_xlfn.IFS(AND(I55=TRUE,R43="NEI"),$R$11,I55=TRUE,T51,TRUE,"")</f>
        <v/>
      </c>
      <c r="T51" s="433" t="str">
        <f>"➡️ "&amp;TEXT(F51,"# ##0")&amp;" kr = "&amp;TEXT(F50,"# ##0")&amp;" kr lønn  x  "&amp;TEXT(F38,"#,0 %")&amp;" feriepenger sats"</f>
        <v>➡️  kr =  kr lønn  x  Velg fra liste…. feriepenger sats</v>
      </c>
      <c r="U51" s="210" t="s">
        <v>87</v>
      </c>
    </row>
    <row r="52" spans="1:21" ht="16.5" thickTop="1" thickBot="1" x14ac:dyDescent="0.3">
      <c r="A52" s="121"/>
      <c r="B52" s="141"/>
      <c r="C52" s="163"/>
      <c r="D52" s="247"/>
      <c r="E52" s="382" t="s">
        <v>124</v>
      </c>
      <c r="F52" s="516" t="str">
        <f>IF(R43="nei","",R52)</f>
        <v/>
      </c>
      <c r="G52" s="438"/>
      <c r="H52" s="380"/>
      <c r="I52" s="513" t="str">
        <f t="shared" si="6"/>
        <v/>
      </c>
      <c r="J52" s="435"/>
      <c r="K52" s="435"/>
      <c r="L52" s="435"/>
      <c r="M52" s="381"/>
      <c r="N52" s="141"/>
      <c r="O52" s="121"/>
      <c r="P52" s="440"/>
      <c r="Q52" s="253" t="s">
        <v>124</v>
      </c>
      <c r="R52" s="505" t="e">
        <f>SUM(R50:R51)*R39</f>
        <v>#DIV/0!</v>
      </c>
      <c r="S52" s="253" t="str" cm="1">
        <f t="array" ref="S52">_xlfn.IFS(AND(I55=TRUE,R43="NEI"),$R$11,I55=TRUE,T52,TRUE,"")</f>
        <v/>
      </c>
      <c r="T52" s="433" t="str">
        <f>"➡️ "&amp;TEXT(F52,"# ##0")&amp;" kr  = ("&amp;TEXT(F50,"# ##0")&amp;" kr lønn + "&amp;TEXT(F51,"# ##0")&amp;" kr feriepenger) x "&amp;TEXT(F39,"#,0 %")&amp;" pensjon"</f>
        <v>➡️  kr  = ( kr lønn +  kr feriepenger) x 11,0 % pensjon</v>
      </c>
      <c r="U52" s="210" t="s">
        <v>87</v>
      </c>
    </row>
    <row r="53" spans="1:21" ht="16.5" customHeight="1" thickTop="1" thickBot="1" x14ac:dyDescent="0.3">
      <c r="A53" s="121"/>
      <c r="B53" s="141"/>
      <c r="C53" s="163"/>
      <c r="D53" s="247"/>
      <c r="E53" s="382" t="s">
        <v>22</v>
      </c>
      <c r="F53" s="516" t="str">
        <f>IF(R43="nei","",R53)</f>
        <v/>
      </c>
      <c r="G53" s="438"/>
      <c r="H53" s="380"/>
      <c r="I53" s="513" t="str">
        <f t="shared" si="6"/>
        <v/>
      </c>
      <c r="J53" s="435"/>
      <c r="K53" s="435"/>
      <c r="L53" s="435"/>
      <c r="M53" s="381"/>
      <c r="N53" s="141"/>
      <c r="O53" s="121"/>
      <c r="P53" s="440"/>
      <c r="Q53" s="253" t="s">
        <v>22</v>
      </c>
      <c r="R53" s="505" t="e">
        <f>SUM(R50:R52)*R41</f>
        <v>#DIV/0!</v>
      </c>
      <c r="S53" s="253" t="str" cm="1">
        <f t="array" ref="S53">_xlfn.IFS(AND(I55=TRUE,R43="NEI"),$R$11,I55=TRUE,T53,TRUE,"")</f>
        <v/>
      </c>
      <c r="T53" s="433" t="str">
        <f>"➡️ "&amp;TEXT(F53,"# ##0")&amp;" kr = ("&amp;TEXT(F50,"# ##0")&amp;" kr + "&amp;TEXT(F51,"# ##0")&amp;" kr f.p. + "&amp;TEXT(F52,"# ##0")&amp;" kr pensjon)  x  "&amp;TEXT(F41,"#,0 %")&amp;" aga "</f>
        <v xml:space="preserve">➡️  kr = ( kr +  kr f.p. +  kr pensjon)  x  Velg fra liste…. aga </v>
      </c>
      <c r="U53" s="210" t="s">
        <v>87</v>
      </c>
    </row>
    <row r="54" spans="1:21" ht="6" customHeight="1" thickTop="1" x14ac:dyDescent="0.25">
      <c r="A54" s="121"/>
      <c r="B54" s="141"/>
      <c r="C54" s="163"/>
      <c r="D54" s="247"/>
      <c r="E54" s="208"/>
      <c r="F54" s="236"/>
      <c r="G54" s="438"/>
      <c r="H54" s="517"/>
      <c r="I54" s="518"/>
      <c r="J54" s="435"/>
      <c r="K54" s="435"/>
      <c r="L54" s="435"/>
      <c r="M54" s="381"/>
      <c r="N54" s="141"/>
      <c r="O54" s="121"/>
      <c r="P54" s="127"/>
      <c r="Q54" s="402"/>
      <c r="R54" s="484"/>
      <c r="S54" s="402"/>
      <c r="T54" s="402"/>
      <c r="U54" s="210"/>
    </row>
    <row r="55" spans="1:21" ht="18.75" customHeight="1" x14ac:dyDescent="0.3">
      <c r="A55" s="121"/>
      <c r="B55" s="158"/>
      <c r="C55" s="445"/>
      <c r="D55" s="446"/>
      <c r="E55" s="447" t="s">
        <v>125</v>
      </c>
      <c r="F55" s="285" t="str">
        <f>IF(R43="nei","",R55)</f>
        <v/>
      </c>
      <c r="G55" s="448"/>
      <c r="H55" s="449"/>
      <c r="I55" s="84" t="b">
        <v>0</v>
      </c>
      <c r="J55" s="450" t="s">
        <v>126</v>
      </c>
      <c r="K55" s="127"/>
      <c r="L55" s="127"/>
      <c r="M55" s="371"/>
      <c r="N55" s="158"/>
      <c r="O55" s="121"/>
      <c r="P55" s="578" t="str">
        <f>P19&amp;"c"</f>
        <v>1c</v>
      </c>
      <c r="Q55" s="253" t="s">
        <v>125</v>
      </c>
      <c r="R55" s="505" t="e">
        <f>SUM(R50:R53)</f>
        <v>#DIV/0!</v>
      </c>
      <c r="S55" s="253"/>
      <c r="T55" s="253"/>
      <c r="U55" s="210"/>
    </row>
    <row r="56" spans="1:21" ht="6" customHeight="1" x14ac:dyDescent="0.25">
      <c r="A56" s="121"/>
      <c r="B56" s="141"/>
      <c r="C56" s="163"/>
      <c r="D56" s="256"/>
      <c r="E56" s="257"/>
      <c r="F56" s="288"/>
      <c r="G56" s="442"/>
      <c r="H56" s="443"/>
      <c r="I56" s="519"/>
      <c r="J56" s="435"/>
      <c r="K56" s="435"/>
      <c r="L56" s="435"/>
      <c r="M56" s="381"/>
      <c r="N56" s="141"/>
      <c r="O56" s="121"/>
      <c r="P56" s="127"/>
      <c r="Q56" s="402"/>
      <c r="R56" s="484"/>
      <c r="S56" s="402"/>
      <c r="T56" s="402"/>
      <c r="U56" s="210"/>
    </row>
    <row r="57" spans="1:21" x14ac:dyDescent="0.25">
      <c r="A57" s="121"/>
      <c r="B57" s="141"/>
      <c r="C57" s="163"/>
      <c r="D57" s="164"/>
      <c r="E57" s="208"/>
      <c r="F57" s="236"/>
      <c r="G57" s="438"/>
      <c r="H57" s="451"/>
      <c r="I57" s="519"/>
      <c r="J57" s="435"/>
      <c r="K57" s="435"/>
      <c r="L57" s="435"/>
      <c r="M57" s="381"/>
      <c r="N57" s="141"/>
      <c r="O57" s="121"/>
      <c r="P57" s="127"/>
      <c r="Q57" s="402"/>
      <c r="R57" s="484"/>
      <c r="S57" s="402"/>
      <c r="T57" s="520" t="str" cm="1">
        <f t="array" ref="T57">_xlfn.IFS(ISBLANK(F25),"",R25=0,"Forklar i kommentarfeltet hvorfor dere søker om pedagogisk tiltak uten at PPT har tilrådet.",R26&gt;R25,T58,TRUE,"")</f>
        <v/>
      </c>
      <c r="U57" s="210"/>
    </row>
    <row r="58" spans="1:21" x14ac:dyDescent="0.25">
      <c r="A58" s="121"/>
      <c r="B58" s="141"/>
      <c r="C58" s="163"/>
      <c r="D58" s="452"/>
      <c r="E58" s="81" t="str">
        <f>IF(E59="","Skriv kommentar:","")</f>
        <v>Skriv kommentar:</v>
      </c>
      <c r="F58" s="81"/>
      <c r="G58" s="81"/>
      <c r="H58" s="82"/>
      <c r="I58" s="519"/>
      <c r="J58" s="759" t="str">
        <f>IF(S58&amp;S59&amp;S60="","","⚠️Vi trenger mer informasjon")</f>
        <v/>
      </c>
      <c r="K58" s="760"/>
      <c r="L58" s="423"/>
      <c r="M58" s="381"/>
      <c r="N58" s="141"/>
      <c r="O58" s="121"/>
      <c r="P58" s="127"/>
      <c r="Q58" s="253" t="s">
        <v>140</v>
      </c>
      <c r="R58" s="521"/>
      <c r="S58" s="453" t="str">
        <f>U58&amp;T57</f>
        <v/>
      </c>
      <c r="T58" s="379" t="s">
        <v>141</v>
      </c>
      <c r="U58" s="522" t="str">
        <f>IF(AND(T57&lt;&gt;"",OR(T59&lt;&gt;"",T60&lt;&gt;"")),"1. ","")</f>
        <v/>
      </c>
    </row>
    <row r="59" spans="1:21" x14ac:dyDescent="0.25">
      <c r="A59" s="121"/>
      <c r="B59" s="141"/>
      <c r="C59" s="163"/>
      <c r="D59" s="454"/>
      <c r="E59" s="753"/>
      <c r="F59" s="753"/>
      <c r="G59" s="753"/>
      <c r="H59" s="455"/>
      <c r="I59" s="519"/>
      <c r="J59" s="747" t="str">
        <f>_xlfn.TEXTJOIN(CHAR(10)&amp;CHAR(10),TRUE,S58,S59,S60)</f>
        <v/>
      </c>
      <c r="K59" s="749"/>
      <c r="L59" s="574"/>
      <c r="M59" s="381"/>
      <c r="N59" s="141"/>
      <c r="O59" s="121"/>
      <c r="P59" s="127"/>
      <c r="Q59" s="253" t="s">
        <v>127</v>
      </c>
      <c r="R59" s="521"/>
      <c r="S59" s="453" t="str">
        <f>U59&amp;T59</f>
        <v/>
      </c>
      <c r="T59" s="379" t="str">
        <f>IFERROR(IF(R45&gt;$R$6,$S$6,""),"")</f>
        <v/>
      </c>
      <c r="U59" s="522" t="str" cm="1">
        <f t="array" ref="U59">_xlfn.IFS(T59="","",T57&lt;&gt;"","2. ",T60&lt;&gt;"","1. ",TRUE,"")</f>
        <v/>
      </c>
    </row>
    <row r="60" spans="1:21" x14ac:dyDescent="0.25">
      <c r="A60" s="121"/>
      <c r="B60" s="141"/>
      <c r="C60" s="163"/>
      <c r="D60" s="454"/>
      <c r="E60" s="753"/>
      <c r="F60" s="753"/>
      <c r="G60" s="753"/>
      <c r="H60" s="455"/>
      <c r="I60" s="519"/>
      <c r="J60" s="747"/>
      <c r="K60" s="749"/>
      <c r="L60" s="574"/>
      <c r="M60" s="381"/>
      <c r="N60" s="141"/>
      <c r="O60" s="121"/>
      <c r="P60" s="127"/>
      <c r="Q60" s="253" t="s">
        <v>280</v>
      </c>
      <c r="R60" s="521"/>
      <c r="S60" s="453" t="str">
        <f>U60&amp;T60</f>
        <v/>
      </c>
      <c r="T60" s="379" t="str">
        <f>IF(F40=-2%,"",$S$7)</f>
        <v/>
      </c>
      <c r="U60" s="522" t="str" cm="1">
        <f t="array" ref="U60">_xlfn.IFS(T60="","",AND(T57&lt;&gt;"",T59&lt;&gt;""),"3. ",AND(T57="",T59=""),"",TRUE,"2. ")</f>
        <v/>
      </c>
    </row>
    <row r="61" spans="1:21" x14ac:dyDescent="0.25">
      <c r="A61" s="121"/>
      <c r="B61" s="141"/>
      <c r="C61" s="163"/>
      <c r="D61" s="454"/>
      <c r="E61" s="753"/>
      <c r="F61" s="753"/>
      <c r="G61" s="753"/>
      <c r="H61" s="455"/>
      <c r="I61" s="519"/>
      <c r="J61" s="747"/>
      <c r="K61" s="749"/>
      <c r="L61" s="574"/>
      <c r="M61" s="381"/>
      <c r="N61" s="141"/>
      <c r="O61" s="121"/>
      <c r="P61" s="127"/>
      <c r="Q61" s="210"/>
      <c r="R61" s="210"/>
      <c r="S61" s="210"/>
      <c r="T61" s="210"/>
      <c r="U61" s="210"/>
    </row>
    <row r="62" spans="1:21" x14ac:dyDescent="0.25">
      <c r="A62" s="121"/>
      <c r="B62" s="141"/>
      <c r="C62" s="163"/>
      <c r="D62" s="454"/>
      <c r="E62" s="753"/>
      <c r="F62" s="753"/>
      <c r="G62" s="753"/>
      <c r="H62" s="455"/>
      <c r="I62" s="519"/>
      <c r="J62" s="747"/>
      <c r="K62" s="749"/>
      <c r="L62" s="574"/>
      <c r="M62" s="381"/>
      <c r="N62" s="141"/>
      <c r="O62" s="121"/>
      <c r="P62" s="127"/>
      <c r="Q62" s="210"/>
      <c r="R62" s="210"/>
      <c r="S62" s="210"/>
      <c r="T62" s="210"/>
      <c r="U62" s="210"/>
    </row>
    <row r="63" spans="1:21" x14ac:dyDescent="0.25">
      <c r="A63" s="121"/>
      <c r="B63" s="141"/>
      <c r="C63" s="163"/>
      <c r="D63" s="454"/>
      <c r="E63" s="753"/>
      <c r="F63" s="753"/>
      <c r="G63" s="753"/>
      <c r="H63" s="455"/>
      <c r="I63" s="519"/>
      <c r="J63" s="747"/>
      <c r="K63" s="749"/>
      <c r="L63" s="574"/>
      <c r="M63" s="381"/>
      <c r="N63" s="141"/>
      <c r="O63" s="121"/>
      <c r="P63" s="127"/>
      <c r="Q63" s="210"/>
      <c r="R63" s="210"/>
      <c r="S63" s="210"/>
      <c r="T63" s="210"/>
      <c r="U63" s="210"/>
    </row>
    <row r="64" spans="1:21" x14ac:dyDescent="0.25">
      <c r="A64" s="121"/>
      <c r="B64" s="141"/>
      <c r="C64" s="163"/>
      <c r="D64" s="458"/>
      <c r="E64" s="754"/>
      <c r="F64" s="754"/>
      <c r="G64" s="754"/>
      <c r="H64" s="459"/>
      <c r="I64" s="519"/>
      <c r="J64" s="750"/>
      <c r="K64" s="752"/>
      <c r="L64" s="574"/>
      <c r="M64" s="381"/>
      <c r="N64" s="141"/>
      <c r="O64" s="121"/>
      <c r="P64" s="127"/>
      <c r="Q64" s="210"/>
      <c r="R64" s="210"/>
      <c r="S64" s="210"/>
      <c r="T64" s="210"/>
      <c r="U64" s="210"/>
    </row>
    <row r="65" spans="1:21" ht="8.1" customHeight="1" x14ac:dyDescent="0.25">
      <c r="A65" s="121"/>
      <c r="B65" s="141"/>
      <c r="C65" s="163"/>
      <c r="D65" s="460"/>
      <c r="E65" s="461"/>
      <c r="F65" s="461"/>
      <c r="G65" s="461"/>
      <c r="H65" s="460"/>
      <c r="I65" s="444"/>
      <c r="J65" s="462"/>
      <c r="K65" s="462"/>
      <c r="L65" s="462"/>
      <c r="M65" s="381"/>
      <c r="N65" s="141"/>
      <c r="O65" s="121"/>
      <c r="P65" s="127"/>
      <c r="Q65" s="210"/>
      <c r="R65" s="210"/>
      <c r="S65" s="210"/>
      <c r="T65" s="210"/>
      <c r="U65" s="210"/>
    </row>
    <row r="66" spans="1:21" x14ac:dyDescent="0.25">
      <c r="A66" s="121"/>
      <c r="B66" s="141"/>
      <c r="C66" s="163"/>
      <c r="D66" s="574"/>
      <c r="E66" s="574"/>
      <c r="F66" s="574"/>
      <c r="G66" s="574"/>
      <c r="H66" s="574"/>
      <c r="I66" s="444"/>
      <c r="J66" s="462"/>
      <c r="K66" s="462"/>
      <c r="L66" s="462"/>
      <c r="M66" s="381"/>
      <c r="N66" s="141"/>
      <c r="O66" s="121"/>
      <c r="P66" s="127"/>
      <c r="Q66" s="210"/>
      <c r="R66" s="210"/>
      <c r="S66" s="210"/>
      <c r="T66" s="210"/>
      <c r="U66" s="210"/>
    </row>
    <row r="67" spans="1:21" x14ac:dyDescent="0.25">
      <c r="A67" s="121"/>
      <c r="B67" s="141"/>
      <c r="C67" s="163"/>
      <c r="D67" s="740" t="s">
        <v>287</v>
      </c>
      <c r="E67" s="741"/>
      <c r="F67" s="741"/>
      <c r="G67" s="741"/>
      <c r="H67" s="741"/>
      <c r="I67" s="737" t="s">
        <v>288</v>
      </c>
      <c r="J67" s="737"/>
      <c r="K67" s="617" t="s">
        <v>289</v>
      </c>
      <c r="L67" s="618"/>
      <c r="M67" s="381"/>
      <c r="N67" s="141"/>
      <c r="O67" s="121"/>
      <c r="P67" s="127"/>
      <c r="Q67" s="210"/>
      <c r="R67" s="210"/>
      <c r="S67" s="210"/>
      <c r="T67" s="210"/>
      <c r="U67" s="210"/>
    </row>
    <row r="68" spans="1:21" ht="38.25" customHeight="1" x14ac:dyDescent="0.25">
      <c r="A68" s="121"/>
      <c r="B68" s="141"/>
      <c r="C68" s="163"/>
      <c r="D68" s="619"/>
      <c r="E68" s="742"/>
      <c r="F68" s="742"/>
      <c r="G68" s="742"/>
      <c r="H68" s="743"/>
      <c r="I68" s="738"/>
      <c r="J68" s="739"/>
      <c r="K68" s="718"/>
      <c r="L68" s="620"/>
      <c r="M68" s="381"/>
      <c r="N68" s="141"/>
      <c r="O68" s="121"/>
      <c r="P68" s="127"/>
      <c r="Q68" s="210"/>
      <c r="R68" s="210"/>
      <c r="S68" s="210"/>
      <c r="T68" s="210"/>
      <c r="U68" s="210"/>
    </row>
    <row r="69" spans="1:21" x14ac:dyDescent="0.25">
      <c r="A69" s="121"/>
      <c r="B69" s="141"/>
      <c r="C69" s="163"/>
      <c r="D69" s="460"/>
      <c r="E69" s="461"/>
      <c r="F69" s="461"/>
      <c r="G69" s="461"/>
      <c r="H69" s="460"/>
      <c r="I69" s="519"/>
      <c r="J69" s="609"/>
      <c r="K69" s="609"/>
      <c r="L69" s="609"/>
      <c r="M69" s="381"/>
      <c r="N69" s="141"/>
      <c r="O69" s="121"/>
      <c r="P69" s="127"/>
      <c r="Q69" s="210"/>
      <c r="R69" s="210"/>
      <c r="S69" s="210"/>
      <c r="T69" s="210"/>
      <c r="U69" s="210"/>
    </row>
    <row r="70" spans="1:21" x14ac:dyDescent="0.25">
      <c r="A70" s="121"/>
      <c r="B70" s="141"/>
      <c r="C70" s="141"/>
      <c r="D70" s="141"/>
      <c r="E70" s="523"/>
      <c r="F70" s="523"/>
      <c r="G70" s="524"/>
      <c r="H70" s="198"/>
      <c r="I70" s="467"/>
      <c r="J70" s="141"/>
      <c r="K70" s="141"/>
      <c r="L70" s="141"/>
      <c r="M70" s="141"/>
      <c r="N70" s="141"/>
      <c r="O70" s="121"/>
      <c r="P70" s="127"/>
      <c r="Q70" s="340"/>
      <c r="R70" s="463"/>
      <c r="S70" s="463"/>
      <c r="T70" s="525"/>
      <c r="U70" s="210"/>
    </row>
    <row r="71" spans="1:21" ht="6" customHeight="1" x14ac:dyDescent="0.25">
      <c r="A71" s="121"/>
      <c r="B71" s="121"/>
      <c r="C71" s="121"/>
      <c r="D71" s="121"/>
      <c r="E71" s="121"/>
      <c r="F71" s="121"/>
      <c r="G71" s="123"/>
      <c r="H71" s="124"/>
      <c r="I71" s="472"/>
      <c r="J71" s="121"/>
      <c r="K71" s="121"/>
      <c r="L71" s="121"/>
      <c r="M71" s="121"/>
      <c r="N71" s="121"/>
      <c r="O71" s="121"/>
      <c r="P71" s="127"/>
      <c r="Q71" s="210"/>
      <c r="R71" s="210"/>
      <c r="S71" s="210"/>
      <c r="T71" s="210"/>
      <c r="U71" s="210"/>
    </row>
    <row r="72" spans="1:21" x14ac:dyDescent="0.25">
      <c r="A72" s="121"/>
      <c r="B72" s="141"/>
      <c r="C72" s="141"/>
      <c r="D72" s="141"/>
      <c r="E72" s="141"/>
      <c r="F72" s="141"/>
      <c r="G72" s="319"/>
      <c r="H72" s="198"/>
      <c r="I72" s="467"/>
      <c r="J72" s="141"/>
      <c r="K72" s="141"/>
      <c r="L72" s="141"/>
      <c r="M72" s="141"/>
      <c r="N72" s="141"/>
      <c r="O72" s="121"/>
      <c r="P72" s="127"/>
      <c r="Q72" s="340"/>
      <c r="R72" s="341"/>
      <c r="S72" s="341"/>
      <c r="T72" s="473"/>
      <c r="U72" s="210"/>
    </row>
    <row r="73" spans="1:21" x14ac:dyDescent="0.25">
      <c r="A73" s="121"/>
      <c r="B73" s="141"/>
      <c r="C73" s="292"/>
      <c r="D73" s="293"/>
      <c r="E73" s="293"/>
      <c r="F73" s="294"/>
      <c r="G73" s="338"/>
      <c r="H73" s="295"/>
      <c r="I73" s="474"/>
      <c r="J73" s="293"/>
      <c r="K73" s="293"/>
      <c r="L73" s="293"/>
      <c r="M73" s="162"/>
      <c r="N73" s="141"/>
      <c r="O73" s="121"/>
      <c r="P73" s="127"/>
      <c r="Q73" s="340" t="s">
        <v>81</v>
      </c>
      <c r="R73" s="210"/>
      <c r="S73" s="210"/>
      <c r="T73" s="210"/>
      <c r="U73" s="210"/>
    </row>
    <row r="74" spans="1:21" ht="21" x14ac:dyDescent="0.25">
      <c r="A74" s="343"/>
      <c r="B74" s="344"/>
      <c r="C74" s="345"/>
      <c r="D74" s="346"/>
      <c r="E74" s="347" t="str">
        <f>"Beregning "&amp;P74</f>
        <v>Beregning 2</v>
      </c>
      <c r="F74" s="346"/>
      <c r="G74" s="346"/>
      <c r="H74" s="349"/>
      <c r="I74" s="475"/>
      <c r="J74" s="476"/>
      <c r="K74" s="346"/>
      <c r="L74" s="346"/>
      <c r="M74" s="351"/>
      <c r="N74" s="344"/>
      <c r="O74" s="343"/>
      <c r="P74" s="352">
        <f>COUNTIF($D$16:D75,"tiltaket")</f>
        <v>2</v>
      </c>
      <c r="Q74" s="353" t="s">
        <v>83</v>
      </c>
      <c r="R74" s="353" t="s">
        <v>84</v>
      </c>
      <c r="S74" s="353" t="s">
        <v>85</v>
      </c>
      <c r="T74" s="353" t="s">
        <v>86</v>
      </c>
      <c r="U74" s="354"/>
    </row>
    <row r="75" spans="1:21" ht="21" x14ac:dyDescent="0.35">
      <c r="A75" s="343"/>
      <c r="B75" s="344"/>
      <c r="C75" s="345"/>
      <c r="D75" s="477" t="s">
        <v>88</v>
      </c>
      <c r="E75" s="478"/>
      <c r="F75" s="478"/>
      <c r="G75" s="478"/>
      <c r="H75" s="361"/>
      <c r="I75" s="349"/>
      <c r="J75" s="352"/>
      <c r="K75" s="346"/>
      <c r="L75" s="346"/>
      <c r="M75" s="351"/>
      <c r="N75" s="344"/>
      <c r="O75" s="343"/>
      <c r="P75" s="363"/>
      <c r="Q75" s="365"/>
      <c r="R75" s="365"/>
      <c r="S75" s="365"/>
      <c r="T75" s="365"/>
      <c r="U75" s="354"/>
    </row>
    <row r="76" spans="1:21" ht="8.1" customHeight="1" x14ac:dyDescent="0.25">
      <c r="A76" s="121"/>
      <c r="B76" s="158"/>
      <c r="C76" s="366"/>
      <c r="D76" s="367"/>
      <c r="E76" s="219"/>
      <c r="F76" s="219"/>
      <c r="G76" s="219"/>
      <c r="H76" s="369"/>
      <c r="I76" s="479"/>
      <c r="J76" s="376"/>
      <c r="K76" s="376"/>
      <c r="L76" s="376"/>
      <c r="M76" s="377"/>
      <c r="N76" s="158"/>
      <c r="O76" s="121"/>
      <c r="P76" s="219"/>
      <c r="Q76" s="402"/>
      <c r="R76" s="402"/>
      <c r="S76" s="402"/>
      <c r="T76" s="402"/>
      <c r="U76" s="354"/>
    </row>
    <row r="77" spans="1:21" ht="15.75" x14ac:dyDescent="0.3">
      <c r="A77" s="121"/>
      <c r="B77" s="141"/>
      <c r="C77" s="163"/>
      <c r="D77" s="247"/>
      <c r="E77" s="373" t="s">
        <v>89</v>
      </c>
      <c r="F77" s="645"/>
      <c r="G77" s="250" t="s">
        <v>90</v>
      </c>
      <c r="H77" s="375"/>
      <c r="I77" s="480" t="str">
        <f>S77</f>
        <v xml:space="preserve">*obligatorisk </v>
      </c>
      <c r="J77" s="481"/>
      <c r="K77" s="376"/>
      <c r="L77" s="376"/>
      <c r="M77" s="377"/>
      <c r="N77" s="158"/>
      <c r="O77" s="121"/>
      <c r="P77" s="575" t="str">
        <f>P74&amp;"a"</f>
        <v>2a</v>
      </c>
      <c r="Q77" s="482" t="str">
        <f>D75</f>
        <v>Tiltaket</v>
      </c>
      <c r="R77" s="483"/>
      <c r="S77" s="482" t="str" cm="1">
        <f t="array" ref="S77">_xlfn.IFS(F77="",$R$8,TRUE,"")</f>
        <v xml:space="preserve">*obligatorisk </v>
      </c>
      <c r="T77" s="482"/>
      <c r="U77" s="210"/>
    </row>
    <row r="78" spans="1:21" ht="6.75" customHeight="1" x14ac:dyDescent="0.25">
      <c r="A78" s="121"/>
      <c r="B78" s="141"/>
      <c r="C78" s="163"/>
      <c r="D78" s="247"/>
      <c r="E78" s="382"/>
      <c r="F78" s="382"/>
      <c r="G78" s="374"/>
      <c r="H78" s="375"/>
      <c r="I78" s="480"/>
      <c r="J78" s="376"/>
      <c r="K78" s="376"/>
      <c r="L78" s="376"/>
      <c r="M78" s="377"/>
      <c r="N78" s="158"/>
      <c r="O78" s="121"/>
      <c r="P78" s="219"/>
      <c r="Q78" s="402"/>
      <c r="R78" s="484"/>
      <c r="S78" s="402"/>
      <c r="T78" s="402"/>
      <c r="U78" s="210"/>
    </row>
    <row r="79" spans="1:21" x14ac:dyDescent="0.25">
      <c r="A79" s="121"/>
      <c r="B79" s="141"/>
      <c r="C79" s="163"/>
      <c r="D79" s="247"/>
      <c r="E79" s="384" t="s">
        <v>92</v>
      </c>
      <c r="F79" s="485"/>
      <c r="G79" s="385"/>
      <c r="H79" s="380"/>
      <c r="I79" s="420"/>
      <c r="J79" s="362"/>
      <c r="K79" s="362"/>
      <c r="L79" s="362"/>
      <c r="M79" s="381"/>
      <c r="N79" s="141"/>
      <c r="O79" s="121"/>
      <c r="P79" s="127"/>
      <c r="Q79" s="402"/>
      <c r="R79" s="484"/>
      <c r="S79" s="402"/>
      <c r="T79" s="402"/>
      <c r="U79" s="210"/>
    </row>
    <row r="80" spans="1:21" ht="15.75" thickBot="1" x14ac:dyDescent="0.3">
      <c r="A80" s="121"/>
      <c r="B80" s="141"/>
      <c r="C80" s="163"/>
      <c r="D80" s="247"/>
      <c r="E80" s="486" t="s">
        <v>133</v>
      </c>
      <c r="F80" s="646"/>
      <c r="G80" s="374" t="s">
        <v>90</v>
      </c>
      <c r="H80" s="380"/>
      <c r="I80" s="480" t="str">
        <f t="shared" ref="I80" si="7">S80</f>
        <v xml:space="preserve">*obligatorisk </v>
      </c>
      <c r="J80" s="362"/>
      <c r="K80" s="388"/>
      <c r="L80" s="388"/>
      <c r="M80" s="381"/>
      <c r="N80" s="141"/>
      <c r="O80" s="121"/>
      <c r="P80" s="487"/>
      <c r="Q80" s="253" t="str">
        <f>E80</f>
        <v>årstimer tilrådt av PPT (à 60 minutter)</v>
      </c>
      <c r="R80" s="488">
        <f>F80</f>
        <v>0</v>
      </c>
      <c r="S80" s="253" t="str" cm="1">
        <f t="array" ref="S80">_xlfn.IFS(F80="",$R$8,F80=0,$R$10,TRUE,"")</f>
        <v xml:space="preserve">*obligatorisk </v>
      </c>
      <c r="T80" s="253" t="s">
        <v>87</v>
      </c>
      <c r="U80" s="210"/>
    </row>
    <row r="81" spans="1:21" ht="15.75" thickTop="1" x14ac:dyDescent="0.25">
      <c r="A81" s="121"/>
      <c r="B81" s="141"/>
      <c r="C81" s="163"/>
      <c r="D81" s="247"/>
      <c r="E81" s="486" t="s">
        <v>134</v>
      </c>
      <c r="F81" s="647"/>
      <c r="G81" s="374" t="s">
        <v>90</v>
      </c>
      <c r="H81" s="380"/>
      <c r="I81" s="480" t="str">
        <f>S81</f>
        <v xml:space="preserve">*obligatorisk </v>
      </c>
      <c r="J81" s="362"/>
      <c r="K81" s="362"/>
      <c r="L81" s="362"/>
      <c r="M81" s="381"/>
      <c r="N81" s="141"/>
      <c r="O81" s="121"/>
      <c r="P81" s="127"/>
      <c r="Q81" s="253" t="str">
        <f>E81</f>
        <v>undervisningstimer i periode totalt</v>
      </c>
      <c r="R81" s="488">
        <f>F81</f>
        <v>0</v>
      </c>
      <c r="S81" s="253" t="str" cm="1">
        <f t="array" ref="S81">_xlfn.IFS(F81="",$R$8,F80=0,"",F81&gt;F80,$R$10,TRUE,"")</f>
        <v xml:space="preserve">*obligatorisk </v>
      </c>
      <c r="T81" s="253" t="s">
        <v>87</v>
      </c>
      <c r="U81" s="210"/>
    </row>
    <row r="82" spans="1:21" ht="8.1" customHeight="1" x14ac:dyDescent="0.25">
      <c r="A82" s="121"/>
      <c r="B82" s="141"/>
      <c r="C82" s="163"/>
      <c r="D82" s="256"/>
      <c r="E82" s="398"/>
      <c r="F82" s="398"/>
      <c r="G82" s="399"/>
      <c r="H82" s="400"/>
      <c r="I82" s="420"/>
      <c r="J82" s="362"/>
      <c r="K82" s="362"/>
      <c r="L82" s="362"/>
      <c r="M82" s="381"/>
      <c r="N82" s="141"/>
      <c r="O82" s="121"/>
      <c r="P82" s="127"/>
      <c r="Q82" s="402"/>
      <c r="R82" s="484"/>
      <c r="S82" s="402"/>
      <c r="T82" s="402"/>
      <c r="U82" s="210"/>
    </row>
    <row r="83" spans="1:21" x14ac:dyDescent="0.25">
      <c r="A83" s="121"/>
      <c r="B83" s="141"/>
      <c r="C83" s="163"/>
      <c r="D83" s="164"/>
      <c r="E83" s="382"/>
      <c r="F83" s="382"/>
      <c r="G83" s="401"/>
      <c r="H83" s="382"/>
      <c r="I83" s="420"/>
      <c r="J83" s="362"/>
      <c r="K83" s="362"/>
      <c r="L83" s="362"/>
      <c r="M83" s="381"/>
      <c r="N83" s="141"/>
      <c r="O83" s="121"/>
      <c r="P83" s="127"/>
      <c r="Q83" s="402"/>
      <c r="R83" s="484"/>
      <c r="S83" s="402"/>
      <c r="T83" s="402"/>
      <c r="U83" s="210"/>
    </row>
    <row r="84" spans="1:21" ht="21" x14ac:dyDescent="0.35">
      <c r="A84" s="343"/>
      <c r="B84" s="344"/>
      <c r="C84" s="345"/>
      <c r="D84" s="477" t="s">
        <v>102</v>
      </c>
      <c r="E84" s="478"/>
      <c r="F84" s="478"/>
      <c r="G84" s="478"/>
      <c r="H84" s="361"/>
      <c r="I84" s="489"/>
      <c r="J84" s="352"/>
      <c r="K84" s="352"/>
      <c r="L84" s="352"/>
      <c r="M84" s="490"/>
      <c r="N84" s="344"/>
      <c r="O84" s="343"/>
      <c r="P84" s="352"/>
      <c r="Q84" s="402"/>
      <c r="R84" s="484"/>
      <c r="S84" s="402"/>
      <c r="T84" s="402"/>
      <c r="U84" s="354"/>
    </row>
    <row r="85" spans="1:21" ht="8.1" customHeight="1" x14ac:dyDescent="0.25">
      <c r="A85" s="121"/>
      <c r="B85" s="158"/>
      <c r="C85" s="366"/>
      <c r="D85" s="404"/>
      <c r="E85" s="405"/>
      <c r="F85" s="219"/>
      <c r="G85" s="219"/>
      <c r="H85" s="369"/>
      <c r="I85" s="479"/>
      <c r="J85" s="219"/>
      <c r="K85" s="219"/>
      <c r="L85" s="219"/>
      <c r="M85" s="371"/>
      <c r="N85" s="158"/>
      <c r="O85" s="121"/>
      <c r="P85" s="219"/>
      <c r="Q85" s="402"/>
      <c r="R85" s="484"/>
      <c r="S85" s="402"/>
      <c r="T85" s="402"/>
      <c r="U85" s="354"/>
    </row>
    <row r="86" spans="1:21" x14ac:dyDescent="0.25">
      <c r="A86" s="121"/>
      <c r="B86" s="141"/>
      <c r="C86" s="163"/>
      <c r="D86" s="247"/>
      <c r="E86" s="373" t="s">
        <v>103</v>
      </c>
      <c r="F86" s="651"/>
      <c r="G86" s="374" t="s">
        <v>90</v>
      </c>
      <c r="H86" s="380"/>
      <c r="I86" s="480" t="str">
        <f t="shared" ref="I86:I88" si="8">S86</f>
        <v xml:space="preserve">*obligatorisk </v>
      </c>
      <c r="J86" s="362"/>
      <c r="K86" s="362"/>
      <c r="L86" s="362"/>
      <c r="M86" s="381"/>
      <c r="N86" s="141"/>
      <c r="O86" s="121"/>
      <c r="P86" s="575" t="str">
        <f>P74&amp;"b"</f>
        <v>2b</v>
      </c>
      <c r="Q86" s="253" t="str">
        <f>E86</f>
        <v>stillingstittel</v>
      </c>
      <c r="R86" s="378"/>
      <c r="S86" s="253" t="str" cm="1">
        <f t="array" ref="S86">_xlfn.IFS(F86="",$R$8,F86=Innstillinger!$B$8,$R$8,TRUE,"")</f>
        <v xml:space="preserve">*obligatorisk </v>
      </c>
      <c r="T86" s="253"/>
      <c r="U86" s="210"/>
    </row>
    <row r="87" spans="1:21" ht="16.5" customHeight="1" thickBot="1" x14ac:dyDescent="0.35">
      <c r="A87" s="121"/>
      <c r="B87" s="141"/>
      <c r="C87" s="491"/>
      <c r="D87" s="492"/>
      <c r="E87" s="373" t="s">
        <v>135</v>
      </c>
      <c r="F87" s="642"/>
      <c r="G87" s="493" t="s">
        <v>90</v>
      </c>
      <c r="H87" s="494"/>
      <c r="I87" s="480" t="str">
        <f t="shared" si="8"/>
        <v xml:space="preserve">*obligatorisk </v>
      </c>
      <c r="J87" s="495"/>
      <c r="K87" s="496"/>
      <c r="L87" s="496"/>
      <c r="M87" s="166"/>
      <c r="N87" s="141"/>
      <c r="O87" s="121"/>
      <c r="P87" s="127"/>
      <c r="Q87" s="253" t="str">
        <f t="shared" ref="Q87:Q89" si="9">E87</f>
        <v>område</v>
      </c>
      <c r="R87" s="497">
        <f>F87</f>
        <v>0</v>
      </c>
      <c r="S87" s="253" t="str" cm="1">
        <f t="array" ref="S87">_xlfn.IFS(F87="",$R$8,F87=Innstillinger!$B$8,$R$8,TRUE,"")</f>
        <v xml:space="preserve">*obligatorisk </v>
      </c>
      <c r="T87" s="253" t="s">
        <v>87</v>
      </c>
      <c r="U87" s="210"/>
    </row>
    <row r="88" spans="1:21" ht="17.25" thickTop="1" thickBot="1" x14ac:dyDescent="0.35">
      <c r="A88" s="121"/>
      <c r="B88" s="141"/>
      <c r="C88" s="491"/>
      <c r="D88" s="492"/>
      <c r="E88" s="373" t="s">
        <v>136</v>
      </c>
      <c r="F88" s="641" t="s">
        <v>129</v>
      </c>
      <c r="G88" s="498" t="s">
        <v>90</v>
      </c>
      <c r="H88" s="494"/>
      <c r="I88" s="480" t="str">
        <f t="shared" si="8"/>
        <v xml:space="preserve">*obligatorisk </v>
      </c>
      <c r="J88" s="499"/>
      <c r="K88" s="496"/>
      <c r="L88" s="496"/>
      <c r="M88" s="166"/>
      <c r="N88" s="141"/>
      <c r="O88" s="121"/>
      <c r="P88" s="127"/>
      <c r="Q88" s="253" t="str">
        <f t="shared" si="9"/>
        <v>årsramme (à 60 minutter)</v>
      </c>
      <c r="R88" s="497">
        <f>IF(F88=Innstillinger!$B$25,F89,_xlfn.XLOOKUP(F88,Innstillinger!$B$20:$B$24,Innstillinger!$C$20:$C$24,0))</f>
        <v>0</v>
      </c>
      <c r="S88" s="253" t="str" cm="1">
        <f t="array" ref="S88">_xlfn.IFS(F88="",$R$8,F88=Innstillinger!$B$8,$R$8,TRUE,"")</f>
        <v xml:space="preserve">*obligatorisk </v>
      </c>
      <c r="T88" s="253" t="s">
        <v>87</v>
      </c>
      <c r="U88" s="210"/>
    </row>
    <row r="89" spans="1:21" ht="17.25" customHeight="1" thickTop="1" x14ac:dyDescent="0.3">
      <c r="A89" s="121"/>
      <c r="B89" s="141"/>
      <c r="C89" s="491"/>
      <c r="D89" s="492"/>
      <c r="E89" s="500" t="s">
        <v>137</v>
      </c>
      <c r="F89" s="83"/>
      <c r="G89" s="501"/>
      <c r="H89" s="494"/>
      <c r="I89" s="480" t="str">
        <f>S89</f>
        <v/>
      </c>
      <c r="J89" s="502"/>
      <c r="K89" s="496"/>
      <c r="L89" s="496"/>
      <c r="M89" s="166"/>
      <c r="N89" s="141"/>
      <c r="O89" s="121"/>
      <c r="P89" s="127"/>
      <c r="Q89" s="253" t="str">
        <f t="shared" si="9"/>
        <v>Finn riktig årsramme her</v>
      </c>
      <c r="R89" s="378"/>
      <c r="S89" s="253" t="str" cm="1">
        <f t="array" ref="S89">_xlfn.IFS(AND(F89="",F88=Innstillinger!$B$25),$R$8&amp;"; "&amp;T89,TRUE,"")</f>
        <v/>
      </c>
      <c r="T89" s="253" t="s">
        <v>138</v>
      </c>
      <c r="U89" s="210" t="s">
        <v>87</v>
      </c>
    </row>
    <row r="90" spans="1:21" ht="8.1" customHeight="1" x14ac:dyDescent="0.25">
      <c r="A90" s="121"/>
      <c r="B90" s="158"/>
      <c r="C90" s="366"/>
      <c r="D90" s="404"/>
      <c r="E90" s="405"/>
      <c r="F90" s="219"/>
      <c r="G90" s="219"/>
      <c r="H90" s="369"/>
      <c r="I90" s="479"/>
      <c r="J90" s="219"/>
      <c r="K90" s="219"/>
      <c r="L90" s="219"/>
      <c r="M90" s="371"/>
      <c r="N90" s="158"/>
      <c r="O90" s="121"/>
      <c r="P90" s="219"/>
      <c r="Q90" s="402"/>
      <c r="R90" s="484"/>
      <c r="S90" s="402"/>
      <c r="T90" s="402"/>
      <c r="U90" s="210"/>
    </row>
    <row r="91" spans="1:21" x14ac:dyDescent="0.25">
      <c r="A91" s="121"/>
      <c r="B91" s="141"/>
      <c r="C91" s="163"/>
      <c r="D91" s="247"/>
      <c r="E91" s="384" t="s">
        <v>139</v>
      </c>
      <c r="F91" s="409"/>
      <c r="G91" s="374"/>
      <c r="H91" s="380"/>
      <c r="I91" s="420"/>
      <c r="J91" s="362"/>
      <c r="K91" s="362"/>
      <c r="L91" s="362"/>
      <c r="M91" s="381"/>
      <c r="N91" s="141"/>
      <c r="O91" s="121"/>
      <c r="P91" s="127"/>
      <c r="Q91" s="402"/>
      <c r="R91" s="484"/>
      <c r="S91" s="402"/>
      <c r="T91" s="402"/>
      <c r="U91" s="210"/>
    </row>
    <row r="92" spans="1:21" ht="15.75" thickBot="1" x14ac:dyDescent="0.3">
      <c r="A92" s="121"/>
      <c r="B92" s="141"/>
      <c r="C92" s="163"/>
      <c r="D92" s="247"/>
      <c r="E92" s="373" t="s">
        <v>108</v>
      </c>
      <c r="F92" s="650"/>
      <c r="G92" s="503" t="s">
        <v>90</v>
      </c>
      <c r="H92" s="504"/>
      <c r="I92" s="480" t="str">
        <f>S92</f>
        <v xml:space="preserve">*obligatorisk </v>
      </c>
      <c r="J92" s="362"/>
      <c r="K92" s="386"/>
      <c r="L92" s="386"/>
      <c r="M92" s="381"/>
      <c r="N92" s="141"/>
      <c r="O92" s="121"/>
      <c r="P92" s="127"/>
      <c r="Q92" s="253" t="str">
        <f>E92</f>
        <v>årslønn for full stilling</v>
      </c>
      <c r="R92" s="505">
        <f>F92</f>
        <v>0</v>
      </c>
      <c r="S92" s="253" t="str" cm="1">
        <f t="array" ref="S92">_xlfn.IFS(R92=0,$R$8,ISERROR(R100)=TRUE,"",R100&gt;$R$6,$R$10,TRUE,"")</f>
        <v xml:space="preserve">*obligatorisk </v>
      </c>
      <c r="T92" s="253" t="s">
        <v>87</v>
      </c>
      <c r="U92" s="210"/>
    </row>
    <row r="93" spans="1:21" ht="16.5" thickTop="1" thickBot="1" x14ac:dyDescent="0.3">
      <c r="A93" s="121"/>
      <c r="B93" s="141"/>
      <c r="C93" s="163"/>
      <c r="D93" s="247"/>
      <c r="E93" s="373" t="s">
        <v>115</v>
      </c>
      <c r="F93" s="643" t="s">
        <v>129</v>
      </c>
      <c r="G93" s="374" t="s">
        <v>90</v>
      </c>
      <c r="H93" s="380"/>
      <c r="I93" s="480" t="str">
        <f t="shared" ref="I93" si="10">S93</f>
        <v xml:space="preserve">*obligatorisk </v>
      </c>
      <c r="J93" s="421"/>
      <c r="K93" s="421"/>
      <c r="L93" s="421"/>
      <c r="M93" s="381"/>
      <c r="N93" s="141"/>
      <c r="O93" s="121"/>
      <c r="P93" s="127"/>
      <c r="Q93" s="253" t="str">
        <f>E93</f>
        <v>sats feriepenger</v>
      </c>
      <c r="R93" s="506" t="str">
        <f>F93</f>
        <v>Velg fra liste….</v>
      </c>
      <c r="S93" s="253" t="str" cm="1">
        <f t="array" ref="S93">_xlfn.IFS(F93="",$R$8,F93=Innstillinger!$B$8,$R$8,TRUE,"")</f>
        <v xml:space="preserve">*obligatorisk </v>
      </c>
      <c r="T93" s="253" t="s">
        <v>87</v>
      </c>
      <c r="U93" s="210"/>
    </row>
    <row r="94" spans="1:21" ht="16.5" thickTop="1" thickBot="1" x14ac:dyDescent="0.3">
      <c r="A94" s="121"/>
      <c r="B94" s="141"/>
      <c r="C94" s="163"/>
      <c r="D94" s="247"/>
      <c r="E94" s="373" t="s">
        <v>116</v>
      </c>
      <c r="F94" s="648">
        <v>0.11</v>
      </c>
      <c r="G94" s="374" t="s">
        <v>90</v>
      </c>
      <c r="H94" s="573"/>
      <c r="I94" s="237"/>
      <c r="J94" s="362"/>
      <c r="K94" s="423"/>
      <c r="L94" s="423"/>
      <c r="M94" s="381"/>
      <c r="N94" s="141"/>
      <c r="O94" s="121"/>
      <c r="P94" s="127"/>
      <c r="Q94" s="253" t="s">
        <v>116</v>
      </c>
      <c r="R94" s="422">
        <f>F94+F95</f>
        <v>0.09</v>
      </c>
      <c r="S94" s="253"/>
      <c r="T94" s="379" t="s">
        <v>87</v>
      </c>
      <c r="U94" s="210" t="s">
        <v>87</v>
      </c>
    </row>
    <row r="95" spans="1:21" ht="16.5" thickTop="1" thickBot="1" x14ac:dyDescent="0.3">
      <c r="A95" s="121"/>
      <c r="B95" s="141"/>
      <c r="C95" s="163"/>
      <c r="D95" s="247"/>
      <c r="E95" s="413" t="s">
        <v>279</v>
      </c>
      <c r="F95" s="649">
        <v>-0.02</v>
      </c>
      <c r="G95" s="374" t="s">
        <v>90</v>
      </c>
      <c r="H95" s="573"/>
      <c r="I95" s="480" t="str">
        <f t="shared" ref="I95:I96" si="11">S95</f>
        <v/>
      </c>
      <c r="J95" s="362"/>
      <c r="K95" s="423"/>
      <c r="L95" s="423"/>
      <c r="M95" s="381"/>
      <c r="N95" s="141"/>
      <c r="O95" s="121"/>
      <c r="P95" s="127"/>
      <c r="Q95" s="253"/>
      <c r="R95" s="422"/>
      <c r="S95" s="253" t="str" cm="1">
        <f t="array" ref="S95">_xlfn.IFS(F95=0%,$R$10,TRUE,"")</f>
        <v/>
      </c>
      <c r="T95" s="379"/>
      <c r="U95" s="210"/>
    </row>
    <row r="96" spans="1:21" ht="15.75" thickTop="1" x14ac:dyDescent="0.25">
      <c r="A96" s="121"/>
      <c r="B96" s="141"/>
      <c r="C96" s="163"/>
      <c r="D96" s="247"/>
      <c r="E96" s="424" t="s">
        <v>117</v>
      </c>
      <c r="F96" s="644" t="s">
        <v>129</v>
      </c>
      <c r="G96" s="374" t="s">
        <v>90</v>
      </c>
      <c r="H96" s="380"/>
      <c r="I96" s="480" t="str">
        <f t="shared" si="11"/>
        <v xml:space="preserve">*obligatorisk </v>
      </c>
      <c r="J96" s="423"/>
      <c r="K96" s="237"/>
      <c r="L96" s="237"/>
      <c r="M96" s="381"/>
      <c r="N96" s="141"/>
      <c r="O96" s="121"/>
      <c r="P96" s="127"/>
      <c r="Q96" s="253" t="str">
        <f>E96</f>
        <v>sats arbeidsgiveravgift</v>
      </c>
      <c r="R96" s="506" t="str">
        <f t="shared" ref="R96" si="12">F96</f>
        <v>Velg fra liste….</v>
      </c>
      <c r="S96" s="253" t="str" cm="1">
        <f t="array" ref="S96">_xlfn.IFS(F96="",$R$8,F96=Innstillinger!$B$8,$R$8,TRUE,"")</f>
        <v xml:space="preserve">*obligatorisk </v>
      </c>
      <c r="T96" s="253"/>
      <c r="U96" s="210"/>
    </row>
    <row r="97" spans="1:21" x14ac:dyDescent="0.25">
      <c r="A97" s="121"/>
      <c r="B97" s="141"/>
      <c r="C97" s="163"/>
      <c r="D97" s="247"/>
      <c r="E97" s="417" t="s">
        <v>118</v>
      </c>
      <c r="F97" s="384"/>
      <c r="G97" s="419"/>
      <c r="H97" s="380"/>
      <c r="I97" s="507"/>
      <c r="J97" s="407"/>
      <c r="K97" s="407"/>
      <c r="L97" s="407"/>
      <c r="M97" s="381"/>
      <c r="N97" s="141"/>
      <c r="O97" s="121"/>
      <c r="P97" s="127"/>
      <c r="Q97" s="508"/>
      <c r="R97" s="509"/>
      <c r="S97" s="508"/>
      <c r="T97" s="508"/>
      <c r="U97" s="210"/>
    </row>
    <row r="98" spans="1:21" x14ac:dyDescent="0.25">
      <c r="A98" s="121"/>
      <c r="B98" s="141"/>
      <c r="C98" s="163"/>
      <c r="D98" s="247"/>
      <c r="E98" s="249"/>
      <c r="F98" s="392"/>
      <c r="G98" s="185"/>
      <c r="H98" s="380"/>
      <c r="I98" s="510"/>
      <c r="J98" s="362"/>
      <c r="K98" s="362"/>
      <c r="L98" s="362"/>
      <c r="M98" s="381"/>
      <c r="N98" s="141"/>
      <c r="O98" s="121"/>
      <c r="P98" s="127"/>
      <c r="Q98" s="426" t="s">
        <v>119</v>
      </c>
      <c r="R98" s="511" t="str" cm="1">
        <f t="array" ref="R98">_xlfn.IFS(ISERROR(R110),"Nei",COUNTIF(I77:I96,$R$8)=0,"JA",TRUE,"NEI")</f>
        <v>Nei</v>
      </c>
      <c r="S98" s="391"/>
      <c r="T98" s="512"/>
      <c r="U98" s="210" t="s">
        <v>87</v>
      </c>
    </row>
    <row r="99" spans="1:21" ht="15.75" thickBot="1" x14ac:dyDescent="0.3">
      <c r="A99" s="121"/>
      <c r="B99" s="141"/>
      <c r="C99" s="163"/>
      <c r="D99" s="247"/>
      <c r="E99" s="373" t="s">
        <v>120</v>
      </c>
      <c r="F99" s="428" t="str">
        <f>IF(R98="nei","",R99)</f>
        <v/>
      </c>
      <c r="G99" s="374"/>
      <c r="H99" s="380"/>
      <c r="I99" s="513" t="str">
        <f t="shared" ref="I99:I100" si="13">S99</f>
        <v/>
      </c>
      <c r="J99" s="430"/>
      <c r="K99" s="430"/>
      <c r="L99" s="430"/>
      <c r="M99" s="381"/>
      <c r="N99" s="141"/>
      <c r="O99" s="121"/>
      <c r="P99" s="127"/>
      <c r="Q99" s="253" t="s">
        <v>43</v>
      </c>
      <c r="R99" s="505" t="e">
        <f>IF(R87=Innstillinger!$B$16,R92*1500/R88/1687.5,R92*1400*100/R88/1687.5/112)</f>
        <v>#DIV/0!</v>
      </c>
      <c r="S99" s="253" t="str" cm="1">
        <f t="array" ref="S99">_xlfn.IFS(AND(I110=TRUE,R98="NEI"),$R$11,I110=TRUE,T99,TRUE,"")</f>
        <v/>
      </c>
      <c r="T99" s="433" t="e" cm="1">
        <f t="array" ref="T99">_xlfn.IFS(R87=Innstillinger!$B$15,"➡️ "&amp;TEXT(R99,"# ##0")&amp;" kr per time  =  "&amp;TEXT(R92,"# ##0")&amp;" kr årslønn x 1400 x 100 ÷  ("&amp;R88&amp;" ramme x 1687,5 x 112)",R87=Innstillinger!$B$16,"➡️ "&amp;TEXT(R99,"# ##0")&amp;" kr per time  =  "&amp;TEXT(R92,"# ##0")&amp;" kr årslønn x 1500 ÷  ("&amp;R88&amp;" ramme x 1687,5)")</f>
        <v>#N/A</v>
      </c>
      <c r="U99" s="210" t="s">
        <v>87</v>
      </c>
    </row>
    <row r="100" spans="1:21" ht="15.75" thickTop="1" x14ac:dyDescent="0.25">
      <c r="A100" s="121"/>
      <c r="B100" s="141"/>
      <c r="C100" s="163"/>
      <c r="D100" s="247"/>
      <c r="E100" s="373" t="s">
        <v>121</v>
      </c>
      <c r="F100" s="434" t="str">
        <f>IF(R98="nei","",R100)</f>
        <v/>
      </c>
      <c r="G100" s="374"/>
      <c r="H100" s="380"/>
      <c r="I100" s="513" t="str">
        <f t="shared" si="13"/>
        <v/>
      </c>
      <c r="J100" s="430"/>
      <c r="K100" s="435"/>
      <c r="L100" s="435"/>
      <c r="M100" s="381"/>
      <c r="N100" s="141"/>
      <c r="O100" s="121"/>
      <c r="P100" s="127"/>
      <c r="Q100" s="253" t="s">
        <v>121</v>
      </c>
      <c r="R100" s="505" t="e">
        <f>(R99*(1+R93+R94+(R93*R94))*(1+R96))</f>
        <v>#DIV/0!</v>
      </c>
      <c r="S100" s="253" t="str" cm="1">
        <f t="array" ref="S100">_xlfn.IFS(AND(I110=TRUE,R98="NEI"),$R$11,I110=TRUE,T100,TRUE,"")</f>
        <v/>
      </c>
      <c r="T100" s="433" t="e">
        <f>"➡️ "&amp;TEXT(R100,"# ##0")&amp;" kr =  "&amp;TEXT(R99,"# ##0,00")&amp;" kr timelønn, uten sosiale utgifter x  sosiale utgifter"</f>
        <v>#DIV/0!</v>
      </c>
      <c r="U100" s="210" t="s">
        <v>87</v>
      </c>
    </row>
    <row r="101" spans="1:21" x14ac:dyDescent="0.25">
      <c r="A101" s="121"/>
      <c r="B101" s="141"/>
      <c r="C101" s="163"/>
      <c r="D101" s="256"/>
      <c r="E101" s="398"/>
      <c r="F101" s="398"/>
      <c r="G101" s="399"/>
      <c r="H101" s="400"/>
      <c r="I101" s="507"/>
      <c r="J101" s="362"/>
      <c r="K101" s="423"/>
      <c r="L101" s="423"/>
      <c r="M101" s="381"/>
      <c r="N101" s="141"/>
      <c r="O101" s="121"/>
      <c r="P101" s="127"/>
      <c r="Q101" s="508"/>
      <c r="R101" s="509"/>
      <c r="S101" s="508"/>
      <c r="T101" s="508"/>
      <c r="U101" s="210" t="s">
        <v>87</v>
      </c>
    </row>
    <row r="102" spans="1:21" x14ac:dyDescent="0.25">
      <c r="A102" s="121"/>
      <c r="B102" s="141"/>
      <c r="C102" s="163"/>
      <c r="D102" s="164"/>
      <c r="E102" s="382"/>
      <c r="F102" s="382"/>
      <c r="G102" s="401"/>
      <c r="H102" s="382"/>
      <c r="I102" s="507"/>
      <c r="J102" s="362"/>
      <c r="K102" s="362"/>
      <c r="L102" s="362"/>
      <c r="M102" s="381"/>
      <c r="N102" s="141"/>
      <c r="O102" s="121"/>
      <c r="P102" s="127"/>
      <c r="Q102" s="402"/>
      <c r="R102" s="484"/>
      <c r="S102" s="402"/>
      <c r="T102" s="402"/>
      <c r="U102" s="210" t="s">
        <v>87</v>
      </c>
    </row>
    <row r="103" spans="1:21" ht="21" x14ac:dyDescent="0.35">
      <c r="A103" s="343"/>
      <c r="B103" s="344"/>
      <c r="C103" s="345"/>
      <c r="D103" s="477" t="s">
        <v>10</v>
      </c>
      <c r="E103" s="478"/>
      <c r="F103" s="478"/>
      <c r="G103" s="478"/>
      <c r="H103" s="361"/>
      <c r="I103" s="514"/>
      <c r="J103" s="352"/>
      <c r="K103" s="352"/>
      <c r="L103" s="352"/>
      <c r="M103" s="490"/>
      <c r="N103" s="344"/>
      <c r="O103" s="343"/>
      <c r="P103" s="352"/>
      <c r="Q103" s="402"/>
      <c r="R103" s="484"/>
      <c r="S103" s="402"/>
      <c r="T103" s="402"/>
      <c r="U103" s="210" t="s">
        <v>87</v>
      </c>
    </row>
    <row r="104" spans="1:21" ht="8.1" customHeight="1" x14ac:dyDescent="0.25">
      <c r="A104" s="121"/>
      <c r="B104" s="158"/>
      <c r="C104" s="366"/>
      <c r="D104" s="404"/>
      <c r="E104" s="405"/>
      <c r="F104" s="219"/>
      <c r="G104" s="219"/>
      <c r="H104" s="369"/>
      <c r="I104" s="515"/>
      <c r="J104" s="219"/>
      <c r="K104" s="219"/>
      <c r="L104" s="219"/>
      <c r="M104" s="371"/>
      <c r="N104" s="158"/>
      <c r="O104" s="121"/>
      <c r="P104" s="219"/>
      <c r="Q104" s="402"/>
      <c r="R104" s="484"/>
      <c r="S104" s="402"/>
      <c r="T104" s="402"/>
      <c r="U104" s="210" t="s">
        <v>87</v>
      </c>
    </row>
    <row r="105" spans="1:21" ht="15.75" thickBot="1" x14ac:dyDescent="0.3">
      <c r="A105" s="121"/>
      <c r="B105" s="141"/>
      <c r="C105" s="163"/>
      <c r="D105" s="247"/>
      <c r="E105" s="382" t="s">
        <v>122</v>
      </c>
      <c r="F105" s="516" t="str">
        <f>IF(R98="nei","",R105)</f>
        <v/>
      </c>
      <c r="G105" s="438"/>
      <c r="H105" s="380"/>
      <c r="I105" s="513" t="str">
        <f t="shared" ref="I105:I108" si="14">S105</f>
        <v/>
      </c>
      <c r="J105" s="439"/>
      <c r="K105" s="439"/>
      <c r="L105" s="439"/>
      <c r="M105" s="381"/>
      <c r="N105" s="141"/>
      <c r="O105" s="121"/>
      <c r="P105" s="440"/>
      <c r="Q105" s="253" t="s">
        <v>122</v>
      </c>
      <c r="R105" s="497" t="e">
        <f>R81*R99</f>
        <v>#DIV/0!</v>
      </c>
      <c r="S105" s="253" t="str" cm="1">
        <f t="array" ref="S105">_xlfn.IFS(AND(I110=TRUE,R98="NEI"),$R$11,I110=TRUE,T105,TRUE,"")</f>
        <v/>
      </c>
      <c r="T105" s="433" t="str">
        <f>"➡️ "&amp;TEXT(F105,"# ##0")&amp;" kr  =   "&amp;F81&amp;" total arbeidstimer  x  "&amp;TEXT(F99,"#,##")&amp;" kroner per time"</f>
        <v>➡️  kr  =    total arbeidstimer  x   kroner per time</v>
      </c>
      <c r="U105" s="210" t="s">
        <v>87</v>
      </c>
    </row>
    <row r="106" spans="1:21" ht="16.5" thickTop="1" thickBot="1" x14ac:dyDescent="0.3">
      <c r="A106" s="121"/>
      <c r="B106" s="141"/>
      <c r="C106" s="163"/>
      <c r="D106" s="247"/>
      <c r="E106" s="382" t="s">
        <v>33</v>
      </c>
      <c r="F106" s="516" t="str">
        <f>IF(R98="nei","",R106)</f>
        <v/>
      </c>
      <c r="G106" s="438"/>
      <c r="H106" s="380"/>
      <c r="I106" s="513" t="str">
        <f t="shared" si="14"/>
        <v/>
      </c>
      <c r="J106" s="435"/>
      <c r="K106" s="435"/>
      <c r="L106" s="435"/>
      <c r="M106" s="381"/>
      <c r="N106" s="141"/>
      <c r="O106" s="121"/>
      <c r="P106" s="440"/>
      <c r="Q106" s="253" t="s">
        <v>33</v>
      </c>
      <c r="R106" s="505" t="e">
        <f>R105*R93</f>
        <v>#DIV/0!</v>
      </c>
      <c r="S106" s="253" t="str" cm="1">
        <f t="array" ref="S106">_xlfn.IFS(AND(I110=TRUE,R98="NEI"),$R$11,I110=TRUE,T106,TRUE,"")</f>
        <v/>
      </c>
      <c r="T106" s="433" t="str">
        <f>"➡️ "&amp;TEXT(F106,"# ##0")&amp;" kr = "&amp;TEXT(F105,"# ##0")&amp;" kr lønn  x  "&amp;TEXT(F93,"#,0 %")&amp;" feriepenger sats"</f>
        <v>➡️  kr =  kr lønn  x  Velg fra liste…. feriepenger sats</v>
      </c>
      <c r="U106" s="210" t="s">
        <v>87</v>
      </c>
    </row>
    <row r="107" spans="1:21" ht="16.5" thickTop="1" thickBot="1" x14ac:dyDescent="0.3">
      <c r="A107" s="121"/>
      <c r="B107" s="141"/>
      <c r="C107" s="163"/>
      <c r="D107" s="247"/>
      <c r="E107" s="382" t="s">
        <v>124</v>
      </c>
      <c r="F107" s="516" t="str">
        <f>IF(R98="nei","",R107)</f>
        <v/>
      </c>
      <c r="G107" s="438"/>
      <c r="H107" s="380"/>
      <c r="I107" s="513" t="str">
        <f t="shared" si="14"/>
        <v/>
      </c>
      <c r="J107" s="435"/>
      <c r="K107" s="435"/>
      <c r="L107" s="435"/>
      <c r="M107" s="381"/>
      <c r="N107" s="141"/>
      <c r="O107" s="121"/>
      <c r="P107" s="440"/>
      <c r="Q107" s="253" t="s">
        <v>124</v>
      </c>
      <c r="R107" s="505" t="e">
        <f>SUM(R105:R106)*R94</f>
        <v>#DIV/0!</v>
      </c>
      <c r="S107" s="253" t="str" cm="1">
        <f t="array" ref="S107">_xlfn.IFS(AND(I110=TRUE,R98="NEI"),$R$11,I110=TRUE,T107,TRUE,"")</f>
        <v/>
      </c>
      <c r="T107" s="433" t="str">
        <f>"➡️ "&amp;TEXT(F107,"# ##0")&amp;" kr  = ("&amp;TEXT(F105,"# ##0")&amp;" kr lønn + "&amp;TEXT(F106,"# ##0")&amp;" kr feriepenger) x "&amp;TEXT(F94,"#,0 %")&amp;" pensjon"</f>
        <v>➡️  kr  = ( kr lønn +  kr feriepenger) x 11,0 % pensjon</v>
      </c>
      <c r="U107" s="210" t="s">
        <v>87</v>
      </c>
    </row>
    <row r="108" spans="1:21" ht="16.5" customHeight="1" thickTop="1" thickBot="1" x14ac:dyDescent="0.3">
      <c r="A108" s="121"/>
      <c r="B108" s="141"/>
      <c r="C108" s="163"/>
      <c r="D108" s="247"/>
      <c r="E108" s="382" t="s">
        <v>22</v>
      </c>
      <c r="F108" s="516" t="str">
        <f>IF(R98="nei","",R108)</f>
        <v/>
      </c>
      <c r="G108" s="438"/>
      <c r="H108" s="380"/>
      <c r="I108" s="513" t="str">
        <f t="shared" si="14"/>
        <v/>
      </c>
      <c r="J108" s="435"/>
      <c r="K108" s="435"/>
      <c r="L108" s="435"/>
      <c r="M108" s="381"/>
      <c r="N108" s="141"/>
      <c r="O108" s="121"/>
      <c r="P108" s="440"/>
      <c r="Q108" s="253" t="s">
        <v>22</v>
      </c>
      <c r="R108" s="505" t="e">
        <f>SUM(R105:R107)*R96</f>
        <v>#DIV/0!</v>
      </c>
      <c r="S108" s="253" t="str" cm="1">
        <f t="array" ref="S108">_xlfn.IFS(AND(I110=TRUE,R98="NEI"),$R$11,I110=TRUE,T108,TRUE,"")</f>
        <v/>
      </c>
      <c r="T108" s="433" t="str">
        <f>"➡️ "&amp;TEXT(F108,"# ##0")&amp;" kr = ("&amp;TEXT(F105,"# ##0")&amp;" kr + "&amp;TEXT(F106,"# ##0")&amp;" kr f.p. + "&amp;TEXT(F107,"# ##0")&amp;" kr pensjon)  x  "&amp;TEXT(F96,"#,0 %")&amp;" aga "</f>
        <v xml:space="preserve">➡️  kr = ( kr +  kr f.p. +  kr pensjon)  x  Velg fra liste…. aga </v>
      </c>
      <c r="U108" s="210" t="s">
        <v>87</v>
      </c>
    </row>
    <row r="109" spans="1:21" ht="6" customHeight="1" thickTop="1" x14ac:dyDescent="0.25">
      <c r="A109" s="121"/>
      <c r="B109" s="141"/>
      <c r="C109" s="163"/>
      <c r="D109" s="247"/>
      <c r="E109" s="208"/>
      <c r="F109" s="236"/>
      <c r="G109" s="438"/>
      <c r="H109" s="517"/>
      <c r="I109" s="518"/>
      <c r="J109" s="435"/>
      <c r="K109" s="435"/>
      <c r="L109" s="435"/>
      <c r="M109" s="381"/>
      <c r="N109" s="141"/>
      <c r="O109" s="121"/>
      <c r="P109" s="127"/>
      <c r="Q109" s="402"/>
      <c r="R109" s="484"/>
      <c r="S109" s="402"/>
      <c r="T109" s="402"/>
      <c r="U109" s="210"/>
    </row>
    <row r="110" spans="1:21" ht="18.75" customHeight="1" x14ac:dyDescent="0.3">
      <c r="A110" s="121"/>
      <c r="B110" s="158"/>
      <c r="C110" s="445"/>
      <c r="D110" s="446"/>
      <c r="E110" s="447" t="s">
        <v>125</v>
      </c>
      <c r="F110" s="285" t="str">
        <f>IF(R98="nei","",R110)</f>
        <v/>
      </c>
      <c r="G110" s="448"/>
      <c r="H110" s="449"/>
      <c r="I110" s="84" t="b">
        <v>0</v>
      </c>
      <c r="J110" s="450" t="s">
        <v>126</v>
      </c>
      <c r="K110" s="127"/>
      <c r="L110" s="127"/>
      <c r="M110" s="371"/>
      <c r="N110" s="158"/>
      <c r="O110" s="121"/>
      <c r="P110" s="578" t="str">
        <f>P74&amp;"c"</f>
        <v>2c</v>
      </c>
      <c r="Q110" s="253" t="s">
        <v>125</v>
      </c>
      <c r="R110" s="505" t="e">
        <f>SUM(R105:R108)</f>
        <v>#DIV/0!</v>
      </c>
      <c r="S110" s="253"/>
      <c r="T110" s="253"/>
      <c r="U110" s="210"/>
    </row>
    <row r="111" spans="1:21" ht="6" customHeight="1" x14ac:dyDescent="0.25">
      <c r="A111" s="121"/>
      <c r="B111" s="141"/>
      <c r="C111" s="163"/>
      <c r="D111" s="256"/>
      <c r="E111" s="257"/>
      <c r="F111" s="288"/>
      <c r="G111" s="442"/>
      <c r="H111" s="443"/>
      <c r="I111" s="519"/>
      <c r="J111" s="435"/>
      <c r="K111" s="435"/>
      <c r="L111" s="435"/>
      <c r="M111" s="381"/>
      <c r="N111" s="141"/>
      <c r="O111" s="121"/>
      <c r="P111" s="127"/>
      <c r="Q111" s="402"/>
      <c r="R111" s="484"/>
      <c r="S111" s="402"/>
      <c r="T111" s="402"/>
      <c r="U111" s="210"/>
    </row>
    <row r="112" spans="1:21" x14ac:dyDescent="0.25">
      <c r="A112" s="121"/>
      <c r="B112" s="141"/>
      <c r="C112" s="163"/>
      <c r="D112" s="164"/>
      <c r="E112" s="208"/>
      <c r="F112" s="236"/>
      <c r="G112" s="438"/>
      <c r="H112" s="451"/>
      <c r="I112" s="519"/>
      <c r="J112" s="435"/>
      <c r="K112" s="435"/>
      <c r="L112" s="435"/>
      <c r="M112" s="381"/>
      <c r="N112" s="141"/>
      <c r="O112" s="121"/>
      <c r="P112" s="127"/>
      <c r="Q112" s="402"/>
      <c r="R112" s="484"/>
      <c r="S112" s="402"/>
      <c r="T112" s="520" t="str" cm="1">
        <f t="array" ref="T112">_xlfn.IFS(ISBLANK(F80),"",R80=0,"Forklar i kommentarfeltet hvorfor dere søker om pedagogisk tiltak uten at PPT har tilrådet.",R81&gt;R80,T113,TRUE,"")</f>
        <v/>
      </c>
      <c r="U112" s="210"/>
    </row>
    <row r="113" spans="1:21" x14ac:dyDescent="0.25">
      <c r="A113" s="121"/>
      <c r="B113" s="141"/>
      <c r="C113" s="163"/>
      <c r="D113" s="452"/>
      <c r="E113" s="81" t="str">
        <f>IF(E114="","Skriv kommentar:","")</f>
        <v>Skriv kommentar:</v>
      </c>
      <c r="F113" s="81"/>
      <c r="G113" s="81"/>
      <c r="H113" s="82"/>
      <c r="I113" s="519"/>
      <c r="J113" s="759" t="str">
        <f>IF(S113&amp;S114&amp;S115="","","⚠️Vi trenger mer informasjon")</f>
        <v/>
      </c>
      <c r="K113" s="760"/>
      <c r="L113" s="423"/>
      <c r="M113" s="381"/>
      <c r="N113" s="141"/>
      <c r="O113" s="121"/>
      <c r="P113" s="127"/>
      <c r="Q113" s="253" t="s">
        <v>140</v>
      </c>
      <c r="R113" s="521"/>
      <c r="S113" s="453" t="str">
        <f>U113&amp;T112</f>
        <v/>
      </c>
      <c r="T113" s="379" t="s">
        <v>141</v>
      </c>
      <c r="U113" s="522" t="str">
        <f>IF(AND(T112&lt;&gt;"",OR(T114&lt;&gt;"",T115&lt;&gt;"")),"1. ","")</f>
        <v/>
      </c>
    </row>
    <row r="114" spans="1:21" x14ac:dyDescent="0.25">
      <c r="A114" s="121"/>
      <c r="B114" s="141"/>
      <c r="C114" s="163"/>
      <c r="D114" s="454"/>
      <c r="E114" s="753"/>
      <c r="F114" s="753"/>
      <c r="G114" s="753"/>
      <c r="H114" s="455"/>
      <c r="I114" s="519"/>
      <c r="J114" s="747" t="str">
        <f>_xlfn.TEXTJOIN(CHAR(10)&amp;CHAR(10),TRUE,S113,S114,S115)</f>
        <v/>
      </c>
      <c r="K114" s="749"/>
      <c r="L114" s="574"/>
      <c r="M114" s="381"/>
      <c r="N114" s="141"/>
      <c r="O114" s="121"/>
      <c r="P114" s="127"/>
      <c r="Q114" s="253" t="s">
        <v>127</v>
      </c>
      <c r="R114" s="521"/>
      <c r="S114" s="453" t="str">
        <f>U114&amp;T114</f>
        <v/>
      </c>
      <c r="T114" s="379" t="str">
        <f>IFERROR(IF(R100&gt;$R$6,$S$6,""),"")</f>
        <v/>
      </c>
      <c r="U114" s="522" t="str" cm="1">
        <f t="array" ref="U114">_xlfn.IFS(T114="","",T112&lt;&gt;"","2. ",T115&lt;&gt;"","1. ",TRUE,"")</f>
        <v/>
      </c>
    </row>
    <row r="115" spans="1:21" x14ac:dyDescent="0.25">
      <c r="A115" s="121"/>
      <c r="B115" s="141"/>
      <c r="C115" s="163"/>
      <c r="D115" s="454"/>
      <c r="E115" s="753"/>
      <c r="F115" s="753"/>
      <c r="G115" s="753"/>
      <c r="H115" s="455"/>
      <c r="I115" s="519"/>
      <c r="J115" s="747"/>
      <c r="K115" s="749"/>
      <c r="L115" s="574"/>
      <c r="M115" s="381"/>
      <c r="N115" s="141"/>
      <c r="O115" s="121"/>
      <c r="P115" s="127"/>
      <c r="Q115" s="253" t="s">
        <v>280</v>
      </c>
      <c r="R115" s="521"/>
      <c r="S115" s="453" t="str">
        <f>U115&amp;T115</f>
        <v/>
      </c>
      <c r="T115" s="379" t="str">
        <f>IF(F95=-2%,"",$S$7)</f>
        <v/>
      </c>
      <c r="U115" s="522" t="str" cm="1">
        <f t="array" ref="U115">_xlfn.IFS(T115="","",AND(T112&lt;&gt;"",T114&lt;&gt;""),"3. ",AND(T112="",T114=""),"",TRUE,"2. ")</f>
        <v/>
      </c>
    </row>
    <row r="116" spans="1:21" x14ac:dyDescent="0.25">
      <c r="A116" s="121"/>
      <c r="B116" s="141"/>
      <c r="C116" s="163"/>
      <c r="D116" s="454"/>
      <c r="E116" s="753"/>
      <c r="F116" s="753"/>
      <c r="G116" s="753"/>
      <c r="H116" s="455"/>
      <c r="I116" s="519"/>
      <c r="J116" s="747"/>
      <c r="K116" s="749"/>
      <c r="L116" s="574"/>
      <c r="M116" s="381"/>
      <c r="N116" s="141"/>
      <c r="O116" s="121"/>
      <c r="P116" s="127"/>
      <c r="Q116" s="210"/>
      <c r="R116" s="210"/>
      <c r="S116" s="210"/>
      <c r="T116" s="210"/>
      <c r="U116" s="210"/>
    </row>
    <row r="117" spans="1:21" x14ac:dyDescent="0.25">
      <c r="A117" s="121"/>
      <c r="B117" s="141"/>
      <c r="C117" s="163"/>
      <c r="D117" s="454"/>
      <c r="E117" s="753"/>
      <c r="F117" s="753"/>
      <c r="G117" s="753"/>
      <c r="H117" s="455"/>
      <c r="I117" s="519"/>
      <c r="J117" s="747"/>
      <c r="K117" s="749"/>
      <c r="L117" s="574"/>
      <c r="M117" s="381"/>
      <c r="N117" s="141"/>
      <c r="O117" s="121"/>
      <c r="P117" s="127"/>
      <c r="Q117" s="210"/>
      <c r="R117" s="210"/>
      <c r="S117" s="210"/>
      <c r="T117" s="210"/>
      <c r="U117" s="210"/>
    </row>
    <row r="118" spans="1:21" x14ac:dyDescent="0.25">
      <c r="A118" s="121"/>
      <c r="B118" s="141"/>
      <c r="C118" s="163"/>
      <c r="D118" s="454"/>
      <c r="E118" s="753"/>
      <c r="F118" s="753"/>
      <c r="G118" s="753"/>
      <c r="H118" s="455"/>
      <c r="I118" s="519"/>
      <c r="J118" s="747"/>
      <c r="K118" s="749"/>
      <c r="L118" s="574"/>
      <c r="M118" s="381"/>
      <c r="N118" s="141"/>
      <c r="O118" s="121"/>
      <c r="P118" s="127"/>
      <c r="Q118" s="210"/>
      <c r="R118" s="210"/>
      <c r="S118" s="210"/>
      <c r="T118" s="210"/>
      <c r="U118" s="210"/>
    </row>
    <row r="119" spans="1:21" x14ac:dyDescent="0.25">
      <c r="A119" s="121"/>
      <c r="B119" s="141"/>
      <c r="C119" s="163"/>
      <c r="D119" s="458"/>
      <c r="E119" s="754"/>
      <c r="F119" s="754"/>
      <c r="G119" s="754"/>
      <c r="H119" s="459"/>
      <c r="I119" s="519"/>
      <c r="J119" s="750"/>
      <c r="K119" s="752"/>
      <c r="L119" s="574"/>
      <c r="M119" s="381"/>
      <c r="N119" s="141"/>
      <c r="O119" s="121"/>
      <c r="P119" s="127"/>
      <c r="Q119" s="210"/>
      <c r="R119" s="210"/>
      <c r="S119" s="210"/>
      <c r="T119" s="210"/>
      <c r="U119" s="210"/>
    </row>
    <row r="120" spans="1:21" ht="8.1" customHeight="1" x14ac:dyDescent="0.25">
      <c r="A120" s="121"/>
      <c r="B120" s="141"/>
      <c r="C120" s="163"/>
      <c r="D120" s="460"/>
      <c r="E120" s="461"/>
      <c r="F120" s="461"/>
      <c r="G120" s="461"/>
      <c r="H120" s="460"/>
      <c r="I120" s="444"/>
      <c r="J120" s="462"/>
      <c r="K120" s="462"/>
      <c r="L120" s="462"/>
      <c r="M120" s="381"/>
      <c r="N120" s="141"/>
      <c r="O120" s="121"/>
      <c r="P120" s="127"/>
      <c r="Q120" s="210"/>
      <c r="R120" s="210"/>
      <c r="S120" s="210"/>
      <c r="T120" s="210"/>
      <c r="U120" s="210"/>
    </row>
    <row r="121" spans="1:21" x14ac:dyDescent="0.25">
      <c r="A121" s="121"/>
      <c r="B121" s="141"/>
      <c r="C121" s="163"/>
      <c r="D121" s="574"/>
      <c r="E121" s="574"/>
      <c r="F121" s="574"/>
      <c r="G121" s="574"/>
      <c r="H121" s="574"/>
      <c r="I121" s="444"/>
      <c r="J121" s="462"/>
      <c r="K121" s="462"/>
      <c r="L121" s="462"/>
      <c r="M121" s="381"/>
      <c r="N121" s="141"/>
      <c r="O121" s="121"/>
      <c r="P121" s="127"/>
      <c r="Q121" s="210"/>
      <c r="R121" s="210"/>
      <c r="S121" s="210"/>
      <c r="T121" s="210"/>
      <c r="U121" s="210"/>
    </row>
    <row r="122" spans="1:21" x14ac:dyDescent="0.25">
      <c r="A122" s="121"/>
      <c r="B122" s="141"/>
      <c r="C122" s="163"/>
      <c r="D122" s="740" t="s">
        <v>287</v>
      </c>
      <c r="E122" s="741"/>
      <c r="F122" s="741"/>
      <c r="G122" s="741"/>
      <c r="H122" s="741"/>
      <c r="I122" s="737" t="s">
        <v>288</v>
      </c>
      <c r="J122" s="737"/>
      <c r="K122" s="617" t="s">
        <v>289</v>
      </c>
      <c r="L122" s="618"/>
      <c r="M122" s="381"/>
      <c r="N122" s="141"/>
      <c r="O122" s="121"/>
      <c r="P122" s="127"/>
      <c r="Q122" s="210"/>
      <c r="R122" s="210"/>
      <c r="S122" s="210"/>
      <c r="T122" s="210"/>
      <c r="U122" s="210"/>
    </row>
    <row r="123" spans="1:21" ht="38.25" customHeight="1" x14ac:dyDescent="0.25">
      <c r="A123" s="121"/>
      <c r="B123" s="141"/>
      <c r="C123" s="163"/>
      <c r="D123" s="619"/>
      <c r="E123" s="742"/>
      <c r="F123" s="742"/>
      <c r="G123" s="742"/>
      <c r="H123" s="743"/>
      <c r="I123" s="738"/>
      <c r="J123" s="739"/>
      <c r="K123" s="718"/>
      <c r="L123" s="620"/>
      <c r="M123" s="381"/>
      <c r="N123" s="141"/>
      <c r="O123" s="121"/>
      <c r="P123" s="127"/>
      <c r="Q123" s="210"/>
      <c r="R123" s="210"/>
      <c r="S123" s="210"/>
      <c r="T123" s="210"/>
      <c r="U123" s="210"/>
    </row>
    <row r="124" spans="1:21" x14ac:dyDescent="0.25">
      <c r="A124" s="121"/>
      <c r="B124" s="141"/>
      <c r="C124" s="163"/>
      <c r="D124" s="460"/>
      <c r="E124" s="461"/>
      <c r="F124" s="461"/>
      <c r="G124" s="461"/>
      <c r="H124" s="460"/>
      <c r="I124" s="519"/>
      <c r="J124" s="609"/>
      <c r="K124" s="609"/>
      <c r="L124" s="609"/>
      <c r="M124" s="381"/>
      <c r="N124" s="141"/>
      <c r="O124" s="121"/>
      <c r="P124" s="127"/>
      <c r="Q124" s="210"/>
      <c r="R124" s="210"/>
      <c r="S124" s="210"/>
      <c r="T124" s="210"/>
      <c r="U124" s="210"/>
    </row>
    <row r="125" spans="1:21" x14ac:dyDescent="0.25">
      <c r="A125" s="121"/>
      <c r="B125" s="141"/>
      <c r="C125" s="141"/>
      <c r="D125" s="141"/>
      <c r="E125" s="523"/>
      <c r="F125" s="523"/>
      <c r="G125" s="524"/>
      <c r="H125" s="198"/>
      <c r="I125" s="467"/>
      <c r="J125" s="141"/>
      <c r="K125" s="141"/>
      <c r="L125" s="141"/>
      <c r="M125" s="141"/>
      <c r="N125" s="141"/>
      <c r="O125" s="121"/>
      <c r="P125" s="127"/>
      <c r="Q125" s="340"/>
      <c r="R125" s="463"/>
      <c r="S125" s="463"/>
      <c r="T125" s="525"/>
      <c r="U125" s="210"/>
    </row>
    <row r="126" spans="1:21" ht="6" customHeight="1" x14ac:dyDescent="0.25">
      <c r="A126" s="121"/>
      <c r="B126" s="121"/>
      <c r="C126" s="121"/>
      <c r="D126" s="121"/>
      <c r="E126" s="121"/>
      <c r="F126" s="121"/>
      <c r="G126" s="123"/>
      <c r="H126" s="124"/>
      <c r="I126" s="472"/>
      <c r="J126" s="121"/>
      <c r="K126" s="121"/>
      <c r="L126" s="121"/>
      <c r="M126" s="121"/>
      <c r="N126" s="121"/>
      <c r="O126" s="121"/>
      <c r="P126" s="127"/>
      <c r="Q126" s="210"/>
      <c r="R126" s="210"/>
      <c r="S126" s="210"/>
      <c r="T126" s="210"/>
      <c r="U126" s="210"/>
    </row>
    <row r="127" spans="1:21" x14ac:dyDescent="0.25">
      <c r="A127" s="121"/>
      <c r="B127" s="141"/>
      <c r="C127" s="141"/>
      <c r="D127" s="141"/>
      <c r="E127" s="141"/>
      <c r="F127" s="141"/>
      <c r="G127" s="319"/>
      <c r="H127" s="198"/>
      <c r="I127" s="467"/>
      <c r="J127" s="141"/>
      <c r="K127" s="141"/>
      <c r="L127" s="141"/>
      <c r="M127" s="141"/>
      <c r="N127" s="141"/>
      <c r="O127" s="121"/>
      <c r="P127" s="127"/>
      <c r="Q127" s="340"/>
      <c r="R127" s="341"/>
      <c r="S127" s="341"/>
      <c r="T127" s="473"/>
      <c r="U127" s="210"/>
    </row>
    <row r="128" spans="1:21" x14ac:dyDescent="0.25">
      <c r="A128" s="121"/>
      <c r="B128" s="141"/>
      <c r="C128" s="292"/>
      <c r="D128" s="293"/>
      <c r="E128" s="293"/>
      <c r="F128" s="294"/>
      <c r="G128" s="338"/>
      <c r="H128" s="295"/>
      <c r="I128" s="474"/>
      <c r="J128" s="293"/>
      <c r="K128" s="293"/>
      <c r="L128" s="293"/>
      <c r="M128" s="162"/>
      <c r="N128" s="141"/>
      <c r="O128" s="121"/>
      <c r="P128" s="127"/>
      <c r="Q128" s="340" t="s">
        <v>81</v>
      </c>
      <c r="R128" s="210"/>
      <c r="S128" s="210"/>
      <c r="T128" s="210"/>
      <c r="U128" s="210"/>
    </row>
    <row r="129" spans="1:21" ht="21" x14ac:dyDescent="0.25">
      <c r="A129" s="343"/>
      <c r="B129" s="344"/>
      <c r="C129" s="345"/>
      <c r="D129" s="346"/>
      <c r="E129" s="347" t="str">
        <f>"Beregning "&amp;P129</f>
        <v>Beregning 3</v>
      </c>
      <c r="F129" s="346"/>
      <c r="G129" s="346"/>
      <c r="H129" s="349"/>
      <c r="I129" s="475"/>
      <c r="J129" s="476"/>
      <c r="K129" s="346"/>
      <c r="L129" s="346"/>
      <c r="M129" s="351"/>
      <c r="N129" s="344"/>
      <c r="O129" s="343"/>
      <c r="P129" s="352">
        <f>COUNTIF($D$16:D130,"tiltaket")</f>
        <v>3</v>
      </c>
      <c r="Q129" s="353" t="s">
        <v>83</v>
      </c>
      <c r="R129" s="353" t="s">
        <v>84</v>
      </c>
      <c r="S129" s="353" t="s">
        <v>85</v>
      </c>
      <c r="T129" s="353" t="s">
        <v>86</v>
      </c>
      <c r="U129" s="354"/>
    </row>
    <row r="130" spans="1:21" ht="21" x14ac:dyDescent="0.35">
      <c r="A130" s="343"/>
      <c r="B130" s="344"/>
      <c r="C130" s="345"/>
      <c r="D130" s="477" t="s">
        <v>88</v>
      </c>
      <c r="E130" s="478"/>
      <c r="F130" s="478"/>
      <c r="G130" s="478"/>
      <c r="H130" s="361"/>
      <c r="I130" s="349"/>
      <c r="J130" s="352"/>
      <c r="K130" s="346"/>
      <c r="L130" s="346"/>
      <c r="M130" s="351"/>
      <c r="N130" s="344"/>
      <c r="O130" s="343"/>
      <c r="P130" s="363"/>
      <c r="Q130" s="365"/>
      <c r="R130" s="365"/>
      <c r="S130" s="365"/>
      <c r="T130" s="365"/>
      <c r="U130" s="354"/>
    </row>
    <row r="131" spans="1:21" ht="8.1" customHeight="1" x14ac:dyDescent="0.25">
      <c r="A131" s="121"/>
      <c r="B131" s="158"/>
      <c r="C131" s="366"/>
      <c r="D131" s="367"/>
      <c r="E131" s="219"/>
      <c r="F131" s="219"/>
      <c r="G131" s="219"/>
      <c r="H131" s="369"/>
      <c r="I131" s="479"/>
      <c r="J131" s="376"/>
      <c r="K131" s="376"/>
      <c r="L131" s="376"/>
      <c r="M131" s="377"/>
      <c r="N131" s="158"/>
      <c r="O131" s="121"/>
      <c r="P131" s="219"/>
      <c r="Q131" s="402"/>
      <c r="R131" s="402"/>
      <c r="S131" s="402"/>
      <c r="T131" s="402"/>
      <c r="U131" s="354"/>
    </row>
    <row r="132" spans="1:21" ht="15.75" x14ac:dyDescent="0.3">
      <c r="A132" s="121"/>
      <c r="B132" s="141"/>
      <c r="C132" s="163"/>
      <c r="D132" s="247"/>
      <c r="E132" s="373" t="s">
        <v>89</v>
      </c>
      <c r="F132" s="645"/>
      <c r="G132" s="250" t="s">
        <v>90</v>
      </c>
      <c r="H132" s="375"/>
      <c r="I132" s="480" t="str">
        <f>S132</f>
        <v xml:space="preserve">*obligatorisk </v>
      </c>
      <c r="J132" s="481"/>
      <c r="K132" s="376"/>
      <c r="L132" s="376"/>
      <c r="M132" s="377"/>
      <c r="N132" s="158"/>
      <c r="O132" s="121"/>
      <c r="P132" s="575" t="str">
        <f>P129&amp;"a"</f>
        <v>3a</v>
      </c>
      <c r="Q132" s="482" t="str">
        <f>D130</f>
        <v>Tiltaket</v>
      </c>
      <c r="R132" s="483"/>
      <c r="S132" s="482" t="str" cm="1">
        <f t="array" ref="S132">_xlfn.IFS(F132="",$R$8,TRUE,"")</f>
        <v xml:space="preserve">*obligatorisk </v>
      </c>
      <c r="T132" s="482"/>
      <c r="U132" s="210"/>
    </row>
    <row r="133" spans="1:21" ht="6.75" customHeight="1" x14ac:dyDescent="0.25">
      <c r="A133" s="121"/>
      <c r="B133" s="141"/>
      <c r="C133" s="163"/>
      <c r="D133" s="247"/>
      <c r="E133" s="382"/>
      <c r="F133" s="382"/>
      <c r="G133" s="374"/>
      <c r="H133" s="375"/>
      <c r="I133" s="480"/>
      <c r="J133" s="376"/>
      <c r="K133" s="376"/>
      <c r="L133" s="376"/>
      <c r="M133" s="377"/>
      <c r="N133" s="158"/>
      <c r="O133" s="121"/>
      <c r="P133" s="219"/>
      <c r="Q133" s="402"/>
      <c r="R133" s="484"/>
      <c r="S133" s="402"/>
      <c r="T133" s="402"/>
      <c r="U133" s="210"/>
    </row>
    <row r="134" spans="1:21" x14ac:dyDescent="0.25">
      <c r="A134" s="121"/>
      <c r="B134" s="141"/>
      <c r="C134" s="163"/>
      <c r="D134" s="247"/>
      <c r="E134" s="384" t="s">
        <v>92</v>
      </c>
      <c r="F134" s="485"/>
      <c r="G134" s="385"/>
      <c r="H134" s="380"/>
      <c r="I134" s="420"/>
      <c r="J134" s="362"/>
      <c r="K134" s="362"/>
      <c r="L134" s="362"/>
      <c r="M134" s="381"/>
      <c r="N134" s="141"/>
      <c r="O134" s="121"/>
      <c r="P134" s="127"/>
      <c r="Q134" s="402"/>
      <c r="R134" s="484"/>
      <c r="S134" s="402"/>
      <c r="T134" s="402"/>
      <c r="U134" s="210"/>
    </row>
    <row r="135" spans="1:21" ht="15.75" thickBot="1" x14ac:dyDescent="0.3">
      <c r="A135" s="121"/>
      <c r="B135" s="141"/>
      <c r="C135" s="163"/>
      <c r="D135" s="247"/>
      <c r="E135" s="486" t="s">
        <v>133</v>
      </c>
      <c r="F135" s="646"/>
      <c r="G135" s="374" t="s">
        <v>90</v>
      </c>
      <c r="H135" s="380"/>
      <c r="I135" s="480" t="str">
        <f t="shared" ref="I135" si="15">S135</f>
        <v xml:space="preserve">*obligatorisk </v>
      </c>
      <c r="J135" s="362"/>
      <c r="K135" s="388"/>
      <c r="L135" s="388"/>
      <c r="M135" s="381"/>
      <c r="N135" s="141"/>
      <c r="O135" s="121"/>
      <c r="P135" s="487"/>
      <c r="Q135" s="253" t="str">
        <f>E135</f>
        <v>årstimer tilrådt av PPT (à 60 minutter)</v>
      </c>
      <c r="R135" s="488">
        <f>F135</f>
        <v>0</v>
      </c>
      <c r="S135" s="253" t="str" cm="1">
        <f t="array" ref="S135">_xlfn.IFS(F135="",$R$8,F135=0,$R$10,TRUE,"")</f>
        <v xml:space="preserve">*obligatorisk </v>
      </c>
      <c r="T135" s="253" t="s">
        <v>87</v>
      </c>
      <c r="U135" s="210"/>
    </row>
    <row r="136" spans="1:21" ht="15.75" thickTop="1" x14ac:dyDescent="0.25">
      <c r="A136" s="121"/>
      <c r="B136" s="141"/>
      <c r="C136" s="163"/>
      <c r="D136" s="247"/>
      <c r="E136" s="486" t="s">
        <v>134</v>
      </c>
      <c r="F136" s="647"/>
      <c r="G136" s="374" t="s">
        <v>90</v>
      </c>
      <c r="H136" s="380"/>
      <c r="I136" s="480" t="str">
        <f>S136</f>
        <v xml:space="preserve">*obligatorisk </v>
      </c>
      <c r="J136" s="362"/>
      <c r="K136" s="362"/>
      <c r="L136" s="362"/>
      <c r="M136" s="381"/>
      <c r="N136" s="141"/>
      <c r="O136" s="121"/>
      <c r="P136" s="127"/>
      <c r="Q136" s="253" t="str">
        <f>E136</f>
        <v>undervisningstimer i periode totalt</v>
      </c>
      <c r="R136" s="488">
        <f>F136</f>
        <v>0</v>
      </c>
      <c r="S136" s="253" t="str" cm="1">
        <f t="array" ref="S136">_xlfn.IFS(F136="",$R$8,F135=0,"",F136&gt;F135,$R$10,TRUE,"")</f>
        <v xml:space="preserve">*obligatorisk </v>
      </c>
      <c r="T136" s="253" t="s">
        <v>87</v>
      </c>
      <c r="U136" s="210"/>
    </row>
    <row r="137" spans="1:21" ht="8.1" customHeight="1" x14ac:dyDescent="0.25">
      <c r="A137" s="121"/>
      <c r="B137" s="141"/>
      <c r="C137" s="163"/>
      <c r="D137" s="256"/>
      <c r="E137" s="398"/>
      <c r="F137" s="398"/>
      <c r="G137" s="399"/>
      <c r="H137" s="400"/>
      <c r="I137" s="420"/>
      <c r="J137" s="362"/>
      <c r="K137" s="362"/>
      <c r="L137" s="362"/>
      <c r="M137" s="381"/>
      <c r="N137" s="141"/>
      <c r="O137" s="121"/>
      <c r="P137" s="127"/>
      <c r="Q137" s="402"/>
      <c r="R137" s="484"/>
      <c r="S137" s="402"/>
      <c r="T137" s="402"/>
      <c r="U137" s="210"/>
    </row>
    <row r="138" spans="1:21" x14ac:dyDescent="0.25">
      <c r="A138" s="121"/>
      <c r="B138" s="141"/>
      <c r="C138" s="163"/>
      <c r="D138" s="164"/>
      <c r="E138" s="382"/>
      <c r="F138" s="382"/>
      <c r="G138" s="401"/>
      <c r="H138" s="382"/>
      <c r="I138" s="420"/>
      <c r="J138" s="362"/>
      <c r="K138" s="362"/>
      <c r="L138" s="362"/>
      <c r="M138" s="381"/>
      <c r="N138" s="141"/>
      <c r="O138" s="121"/>
      <c r="P138" s="127"/>
      <c r="Q138" s="402"/>
      <c r="R138" s="484"/>
      <c r="S138" s="402"/>
      <c r="T138" s="402"/>
      <c r="U138" s="210"/>
    </row>
    <row r="139" spans="1:21" ht="21" x14ac:dyDescent="0.35">
      <c r="A139" s="343"/>
      <c r="B139" s="344"/>
      <c r="C139" s="345"/>
      <c r="D139" s="477" t="s">
        <v>102</v>
      </c>
      <c r="E139" s="478"/>
      <c r="F139" s="478"/>
      <c r="G139" s="478"/>
      <c r="H139" s="361"/>
      <c r="I139" s="489"/>
      <c r="J139" s="352"/>
      <c r="K139" s="352"/>
      <c r="L139" s="352"/>
      <c r="M139" s="490"/>
      <c r="N139" s="344"/>
      <c r="O139" s="343"/>
      <c r="P139" s="352"/>
      <c r="Q139" s="402"/>
      <c r="R139" s="484"/>
      <c r="S139" s="402"/>
      <c r="T139" s="402"/>
      <c r="U139" s="354"/>
    </row>
    <row r="140" spans="1:21" ht="8.1" customHeight="1" x14ac:dyDescent="0.25">
      <c r="A140" s="121"/>
      <c r="B140" s="158"/>
      <c r="C140" s="366"/>
      <c r="D140" s="404"/>
      <c r="E140" s="405"/>
      <c r="F140" s="219"/>
      <c r="G140" s="219"/>
      <c r="H140" s="369"/>
      <c r="I140" s="479"/>
      <c r="J140" s="219"/>
      <c r="K140" s="219"/>
      <c r="L140" s="219"/>
      <c r="M140" s="371"/>
      <c r="N140" s="158"/>
      <c r="O140" s="121"/>
      <c r="P140" s="219"/>
      <c r="Q140" s="402"/>
      <c r="R140" s="484"/>
      <c r="S140" s="402"/>
      <c r="T140" s="402"/>
      <c r="U140" s="354"/>
    </row>
    <row r="141" spans="1:21" x14ac:dyDescent="0.25">
      <c r="A141" s="121"/>
      <c r="B141" s="141"/>
      <c r="C141" s="163"/>
      <c r="D141" s="247"/>
      <c r="E141" s="373" t="s">
        <v>103</v>
      </c>
      <c r="F141" s="651"/>
      <c r="G141" s="374" t="s">
        <v>90</v>
      </c>
      <c r="H141" s="380"/>
      <c r="I141" s="480" t="str">
        <f t="shared" ref="I141:I143" si="16">S141</f>
        <v xml:space="preserve">*obligatorisk </v>
      </c>
      <c r="J141" s="362"/>
      <c r="K141" s="362"/>
      <c r="L141" s="362"/>
      <c r="M141" s="381"/>
      <c r="N141" s="141"/>
      <c r="O141" s="121"/>
      <c r="P141" s="575" t="str">
        <f>P129&amp;"b"</f>
        <v>3b</v>
      </c>
      <c r="Q141" s="253" t="str">
        <f>E141</f>
        <v>stillingstittel</v>
      </c>
      <c r="R141" s="378"/>
      <c r="S141" s="253" t="str" cm="1">
        <f t="array" ref="S141">_xlfn.IFS(F141="",$R$8,F141=Innstillinger!$B$8,$R$8,TRUE,"")</f>
        <v xml:space="preserve">*obligatorisk </v>
      </c>
      <c r="T141" s="253"/>
      <c r="U141" s="210"/>
    </row>
    <row r="142" spans="1:21" ht="16.5" customHeight="1" thickBot="1" x14ac:dyDescent="0.35">
      <c r="A142" s="121"/>
      <c r="B142" s="141"/>
      <c r="C142" s="491"/>
      <c r="D142" s="492"/>
      <c r="E142" s="373" t="s">
        <v>135</v>
      </c>
      <c r="F142" s="642"/>
      <c r="G142" s="493" t="s">
        <v>90</v>
      </c>
      <c r="H142" s="494"/>
      <c r="I142" s="480" t="str">
        <f t="shared" si="16"/>
        <v xml:space="preserve">*obligatorisk </v>
      </c>
      <c r="J142" s="495"/>
      <c r="K142" s="496"/>
      <c r="L142" s="496"/>
      <c r="M142" s="166"/>
      <c r="N142" s="141"/>
      <c r="O142" s="121"/>
      <c r="P142" s="127"/>
      <c r="Q142" s="253" t="str">
        <f t="shared" ref="Q142:Q144" si="17">E142</f>
        <v>område</v>
      </c>
      <c r="R142" s="497">
        <f>F142</f>
        <v>0</v>
      </c>
      <c r="S142" s="253" t="str" cm="1">
        <f t="array" ref="S142">_xlfn.IFS(F142="",$R$8,F142=Innstillinger!$B$8,$R$8,TRUE,"")</f>
        <v xml:space="preserve">*obligatorisk </v>
      </c>
      <c r="T142" s="253" t="s">
        <v>87</v>
      </c>
      <c r="U142" s="210"/>
    </row>
    <row r="143" spans="1:21" ht="17.25" thickTop="1" thickBot="1" x14ac:dyDescent="0.35">
      <c r="A143" s="121"/>
      <c r="B143" s="141"/>
      <c r="C143" s="491"/>
      <c r="D143" s="492"/>
      <c r="E143" s="373" t="s">
        <v>136</v>
      </c>
      <c r="F143" s="641" t="s">
        <v>129</v>
      </c>
      <c r="G143" s="498" t="s">
        <v>90</v>
      </c>
      <c r="H143" s="494"/>
      <c r="I143" s="480" t="str">
        <f t="shared" si="16"/>
        <v xml:space="preserve">*obligatorisk </v>
      </c>
      <c r="J143" s="499"/>
      <c r="K143" s="496"/>
      <c r="L143" s="496"/>
      <c r="M143" s="166"/>
      <c r="N143" s="141"/>
      <c r="O143" s="121"/>
      <c r="P143" s="127"/>
      <c r="Q143" s="253" t="str">
        <f t="shared" si="17"/>
        <v>årsramme (à 60 minutter)</v>
      </c>
      <c r="R143" s="497">
        <f>IF(F143=Innstillinger!$B$25,F144,_xlfn.XLOOKUP(F143,Innstillinger!$B$20:$B$24,Innstillinger!$C$20:$C$24,0))</f>
        <v>0</v>
      </c>
      <c r="S143" s="253" t="str" cm="1">
        <f t="array" ref="S143">_xlfn.IFS(F143="",$R$8,F143=Innstillinger!$B$8,$R$8,TRUE,"")</f>
        <v xml:space="preserve">*obligatorisk </v>
      </c>
      <c r="T143" s="253" t="s">
        <v>87</v>
      </c>
      <c r="U143" s="210"/>
    </row>
    <row r="144" spans="1:21" ht="17.25" customHeight="1" thickTop="1" x14ac:dyDescent="0.3">
      <c r="A144" s="121"/>
      <c r="B144" s="141"/>
      <c r="C144" s="491"/>
      <c r="D144" s="492"/>
      <c r="E144" s="500" t="s">
        <v>137</v>
      </c>
      <c r="F144" s="83"/>
      <c r="G144" s="501"/>
      <c r="H144" s="494"/>
      <c r="I144" s="480" t="str">
        <f>S144</f>
        <v/>
      </c>
      <c r="J144" s="502"/>
      <c r="K144" s="496"/>
      <c r="L144" s="496"/>
      <c r="M144" s="166"/>
      <c r="N144" s="141"/>
      <c r="O144" s="121"/>
      <c r="P144" s="127"/>
      <c r="Q144" s="253" t="str">
        <f t="shared" si="17"/>
        <v>Finn riktig årsramme her</v>
      </c>
      <c r="R144" s="378"/>
      <c r="S144" s="253" t="str" cm="1">
        <f t="array" ref="S144">_xlfn.IFS(AND(F144="",F143=Innstillinger!$B$25),$R$8&amp;"; "&amp;T144,TRUE,"")</f>
        <v/>
      </c>
      <c r="T144" s="253" t="s">
        <v>138</v>
      </c>
      <c r="U144" s="210" t="s">
        <v>87</v>
      </c>
    </row>
    <row r="145" spans="1:21" ht="8.1" customHeight="1" x14ac:dyDescent="0.25">
      <c r="A145" s="121"/>
      <c r="B145" s="158"/>
      <c r="C145" s="366"/>
      <c r="D145" s="404"/>
      <c r="E145" s="405"/>
      <c r="F145" s="219"/>
      <c r="G145" s="219"/>
      <c r="H145" s="369"/>
      <c r="I145" s="479"/>
      <c r="J145" s="219"/>
      <c r="K145" s="219"/>
      <c r="L145" s="219"/>
      <c r="M145" s="371"/>
      <c r="N145" s="158"/>
      <c r="O145" s="121"/>
      <c r="P145" s="219"/>
      <c r="Q145" s="402"/>
      <c r="R145" s="484"/>
      <c r="S145" s="402"/>
      <c r="T145" s="402"/>
      <c r="U145" s="210"/>
    </row>
    <row r="146" spans="1:21" x14ac:dyDescent="0.25">
      <c r="A146" s="121"/>
      <c r="B146" s="141"/>
      <c r="C146" s="163"/>
      <c r="D146" s="247"/>
      <c r="E146" s="384" t="s">
        <v>139</v>
      </c>
      <c r="F146" s="409"/>
      <c r="G146" s="374"/>
      <c r="H146" s="380"/>
      <c r="I146" s="420"/>
      <c r="J146" s="362"/>
      <c r="K146" s="362"/>
      <c r="L146" s="362"/>
      <c r="M146" s="381"/>
      <c r="N146" s="141"/>
      <c r="O146" s="121"/>
      <c r="P146" s="127"/>
      <c r="Q146" s="402"/>
      <c r="R146" s="484"/>
      <c r="S146" s="402"/>
      <c r="T146" s="402"/>
      <c r="U146" s="210"/>
    </row>
    <row r="147" spans="1:21" ht="15.75" thickBot="1" x14ac:dyDescent="0.3">
      <c r="A147" s="121"/>
      <c r="B147" s="141"/>
      <c r="C147" s="163"/>
      <c r="D147" s="247"/>
      <c r="E147" s="373" t="s">
        <v>108</v>
      </c>
      <c r="F147" s="650"/>
      <c r="G147" s="503" t="s">
        <v>90</v>
      </c>
      <c r="H147" s="504"/>
      <c r="I147" s="480" t="str">
        <f>S147</f>
        <v xml:space="preserve">*obligatorisk </v>
      </c>
      <c r="J147" s="362"/>
      <c r="K147" s="386"/>
      <c r="L147" s="386"/>
      <c r="M147" s="381"/>
      <c r="N147" s="141"/>
      <c r="O147" s="121"/>
      <c r="P147" s="127"/>
      <c r="Q147" s="253" t="str">
        <f>E147</f>
        <v>årslønn for full stilling</v>
      </c>
      <c r="R147" s="505">
        <f>F147</f>
        <v>0</v>
      </c>
      <c r="S147" s="253" t="str" cm="1">
        <f t="array" ref="S147">_xlfn.IFS(R147=0,$R$8,ISERROR(R155)=TRUE,"",R155&gt;$R$6,$R$10,TRUE,"")</f>
        <v xml:space="preserve">*obligatorisk </v>
      </c>
      <c r="T147" s="253" t="s">
        <v>87</v>
      </c>
      <c r="U147" s="210"/>
    </row>
    <row r="148" spans="1:21" ht="16.5" thickTop="1" thickBot="1" x14ac:dyDescent="0.3">
      <c r="A148" s="121"/>
      <c r="B148" s="141"/>
      <c r="C148" s="163"/>
      <c r="D148" s="247"/>
      <c r="E148" s="373" t="s">
        <v>115</v>
      </c>
      <c r="F148" s="643" t="s">
        <v>129</v>
      </c>
      <c r="G148" s="374" t="s">
        <v>90</v>
      </c>
      <c r="H148" s="380"/>
      <c r="I148" s="480" t="str">
        <f t="shared" ref="I148" si="18">S148</f>
        <v xml:space="preserve">*obligatorisk </v>
      </c>
      <c r="J148" s="421"/>
      <c r="K148" s="421"/>
      <c r="L148" s="421"/>
      <c r="M148" s="381"/>
      <c r="N148" s="141"/>
      <c r="O148" s="121"/>
      <c r="P148" s="127"/>
      <c r="Q148" s="253" t="str">
        <f>E148</f>
        <v>sats feriepenger</v>
      </c>
      <c r="R148" s="506" t="str">
        <f>F148</f>
        <v>Velg fra liste….</v>
      </c>
      <c r="S148" s="253" t="str" cm="1">
        <f t="array" ref="S148">_xlfn.IFS(F148="",$R$8,F148=Innstillinger!$B$8,$R$8,TRUE,"")</f>
        <v xml:space="preserve">*obligatorisk </v>
      </c>
      <c r="T148" s="253" t="s">
        <v>87</v>
      </c>
      <c r="U148" s="210"/>
    </row>
    <row r="149" spans="1:21" ht="16.5" thickTop="1" thickBot="1" x14ac:dyDescent="0.3">
      <c r="A149" s="121"/>
      <c r="B149" s="141"/>
      <c r="C149" s="163"/>
      <c r="D149" s="247"/>
      <c r="E149" s="373" t="s">
        <v>116</v>
      </c>
      <c r="F149" s="648">
        <v>0.11</v>
      </c>
      <c r="G149" s="374" t="s">
        <v>90</v>
      </c>
      <c r="H149" s="573"/>
      <c r="I149" s="237"/>
      <c r="J149" s="362"/>
      <c r="K149" s="423"/>
      <c r="L149" s="423"/>
      <c r="M149" s="381"/>
      <c r="N149" s="141"/>
      <c r="O149" s="121"/>
      <c r="P149" s="127"/>
      <c r="Q149" s="253" t="s">
        <v>116</v>
      </c>
      <c r="R149" s="422">
        <f>F149+F150</f>
        <v>0.09</v>
      </c>
      <c r="S149" s="253"/>
      <c r="T149" s="379" t="s">
        <v>87</v>
      </c>
      <c r="U149" s="210" t="s">
        <v>87</v>
      </c>
    </row>
    <row r="150" spans="1:21" ht="16.5" thickTop="1" thickBot="1" x14ac:dyDescent="0.3">
      <c r="A150" s="121"/>
      <c r="B150" s="141"/>
      <c r="C150" s="163"/>
      <c r="D150" s="247"/>
      <c r="E150" s="413" t="s">
        <v>279</v>
      </c>
      <c r="F150" s="649">
        <v>-0.02</v>
      </c>
      <c r="G150" s="374" t="s">
        <v>90</v>
      </c>
      <c r="H150" s="573"/>
      <c r="I150" s="480" t="str">
        <f t="shared" ref="I150:I151" si="19">S150</f>
        <v/>
      </c>
      <c r="J150" s="362"/>
      <c r="K150" s="423"/>
      <c r="L150" s="423"/>
      <c r="M150" s="381"/>
      <c r="N150" s="141"/>
      <c r="O150" s="121"/>
      <c r="P150" s="127"/>
      <c r="Q150" s="253"/>
      <c r="R150" s="422"/>
      <c r="S150" s="253" t="str" cm="1">
        <f t="array" ref="S150">_xlfn.IFS(F150=0%,$R$10,TRUE,"")</f>
        <v/>
      </c>
      <c r="T150" s="379"/>
      <c r="U150" s="210"/>
    </row>
    <row r="151" spans="1:21" ht="15.75" thickTop="1" x14ac:dyDescent="0.25">
      <c r="A151" s="121"/>
      <c r="B151" s="141"/>
      <c r="C151" s="163"/>
      <c r="D151" s="247"/>
      <c r="E151" s="424" t="s">
        <v>117</v>
      </c>
      <c r="F151" s="644" t="s">
        <v>129</v>
      </c>
      <c r="G151" s="374" t="s">
        <v>90</v>
      </c>
      <c r="H151" s="380"/>
      <c r="I151" s="480" t="str">
        <f t="shared" si="19"/>
        <v xml:space="preserve">*obligatorisk </v>
      </c>
      <c r="J151" s="423"/>
      <c r="K151" s="237"/>
      <c r="L151" s="237"/>
      <c r="M151" s="381"/>
      <c r="N151" s="141"/>
      <c r="O151" s="121"/>
      <c r="P151" s="127"/>
      <c r="Q151" s="253" t="str">
        <f>E151</f>
        <v>sats arbeidsgiveravgift</v>
      </c>
      <c r="R151" s="506" t="str">
        <f t="shared" ref="R151" si="20">F151</f>
        <v>Velg fra liste….</v>
      </c>
      <c r="S151" s="253" t="str" cm="1">
        <f t="array" ref="S151">_xlfn.IFS(F151="",$R$8,F151=Innstillinger!$B$8,$R$8,TRUE,"")</f>
        <v xml:space="preserve">*obligatorisk </v>
      </c>
      <c r="T151" s="253"/>
      <c r="U151" s="210"/>
    </row>
    <row r="152" spans="1:21" x14ac:dyDescent="0.25">
      <c r="A152" s="121"/>
      <c r="B152" s="141"/>
      <c r="C152" s="163"/>
      <c r="D152" s="247"/>
      <c r="E152" s="417" t="s">
        <v>118</v>
      </c>
      <c r="F152" s="384"/>
      <c r="G152" s="419"/>
      <c r="H152" s="380"/>
      <c r="I152" s="507"/>
      <c r="J152" s="407"/>
      <c r="K152" s="407"/>
      <c r="L152" s="407"/>
      <c r="M152" s="381"/>
      <c r="N152" s="141"/>
      <c r="O152" s="121"/>
      <c r="P152" s="127"/>
      <c r="Q152" s="508"/>
      <c r="R152" s="509"/>
      <c r="S152" s="508"/>
      <c r="T152" s="508"/>
      <c r="U152" s="210"/>
    </row>
    <row r="153" spans="1:21" x14ac:dyDescent="0.25">
      <c r="A153" s="121"/>
      <c r="B153" s="141"/>
      <c r="C153" s="163"/>
      <c r="D153" s="247"/>
      <c r="E153" s="249"/>
      <c r="F153" s="392"/>
      <c r="G153" s="185"/>
      <c r="H153" s="380"/>
      <c r="I153" s="510"/>
      <c r="J153" s="362"/>
      <c r="K153" s="362"/>
      <c r="L153" s="362"/>
      <c r="M153" s="381"/>
      <c r="N153" s="141"/>
      <c r="O153" s="121"/>
      <c r="P153" s="127"/>
      <c r="Q153" s="426" t="s">
        <v>119</v>
      </c>
      <c r="R153" s="511" t="str" cm="1">
        <f t="array" ref="R153">_xlfn.IFS(ISERROR(R165),"Nei",COUNTIF(I132:I151,$R$8)=0,"JA",TRUE,"NEI")</f>
        <v>Nei</v>
      </c>
      <c r="S153" s="391"/>
      <c r="T153" s="512"/>
      <c r="U153" s="210" t="s">
        <v>87</v>
      </c>
    </row>
    <row r="154" spans="1:21" ht="15.75" thickBot="1" x14ac:dyDescent="0.3">
      <c r="A154" s="121"/>
      <c r="B154" s="141"/>
      <c r="C154" s="163"/>
      <c r="D154" s="247"/>
      <c r="E154" s="373" t="s">
        <v>120</v>
      </c>
      <c r="F154" s="428" t="str">
        <f>IF(R153="nei","",R154)</f>
        <v/>
      </c>
      <c r="G154" s="374"/>
      <c r="H154" s="380"/>
      <c r="I154" s="513" t="str">
        <f t="shared" ref="I154:I155" si="21">S154</f>
        <v/>
      </c>
      <c r="J154" s="430"/>
      <c r="K154" s="430"/>
      <c r="L154" s="430"/>
      <c r="M154" s="381"/>
      <c r="N154" s="141"/>
      <c r="O154" s="121"/>
      <c r="P154" s="127"/>
      <c r="Q154" s="253" t="s">
        <v>43</v>
      </c>
      <c r="R154" s="505" t="e">
        <f>IF(R142=Innstillinger!$B$16,R147*1500/R143/1687.5,R147*1400*100/R143/1687.5/112)</f>
        <v>#DIV/0!</v>
      </c>
      <c r="S154" s="253" t="str" cm="1">
        <f t="array" ref="S154">_xlfn.IFS(AND(I165=TRUE,R153="NEI"),$R$11,I165=TRUE,T154,TRUE,"")</f>
        <v/>
      </c>
      <c r="T154" s="433" t="e" cm="1">
        <f t="array" ref="T154">_xlfn.IFS(R142=Innstillinger!$B$15,"➡️ "&amp;TEXT(R154,"# ##0")&amp;" kr per time  =  "&amp;TEXT(R147,"# ##0")&amp;" kr årslønn x 1400 x 100 ÷  ("&amp;R143&amp;" ramme x 1687,5 x 112)",R142=Innstillinger!$B$16,"➡️ "&amp;TEXT(R154,"# ##0")&amp;" kr per time  =  "&amp;TEXT(R147,"# ##0")&amp;" kr årslønn x 1500 ÷  ("&amp;R143&amp;" ramme x 1687,5)")</f>
        <v>#N/A</v>
      </c>
      <c r="U154" s="210" t="s">
        <v>87</v>
      </c>
    </row>
    <row r="155" spans="1:21" ht="15.75" thickTop="1" x14ac:dyDescent="0.25">
      <c r="A155" s="121"/>
      <c r="B155" s="141"/>
      <c r="C155" s="163"/>
      <c r="D155" s="247"/>
      <c r="E155" s="373" t="s">
        <v>121</v>
      </c>
      <c r="F155" s="434" t="str">
        <f>IF(R153="nei","",R155)</f>
        <v/>
      </c>
      <c r="G155" s="374"/>
      <c r="H155" s="380"/>
      <c r="I155" s="513" t="str">
        <f t="shared" si="21"/>
        <v/>
      </c>
      <c r="J155" s="430"/>
      <c r="K155" s="435"/>
      <c r="L155" s="435"/>
      <c r="M155" s="381"/>
      <c r="N155" s="141"/>
      <c r="O155" s="121"/>
      <c r="P155" s="127"/>
      <c r="Q155" s="253" t="s">
        <v>121</v>
      </c>
      <c r="R155" s="505" t="e">
        <f>(R154*(1+R148+R149+(R148*R149))*(1+R151))</f>
        <v>#DIV/0!</v>
      </c>
      <c r="S155" s="253" t="str" cm="1">
        <f t="array" ref="S155">_xlfn.IFS(AND(I165=TRUE,R153="NEI"),$R$11,I165=TRUE,T155,TRUE,"")</f>
        <v/>
      </c>
      <c r="T155" s="433" t="e">
        <f>"➡️ "&amp;TEXT(R155,"# ##0")&amp;" kr =  "&amp;TEXT(R154,"# ##0,00")&amp;" kr timelønn, uten sosiale utgifter x  sosiale utgifter"</f>
        <v>#DIV/0!</v>
      </c>
      <c r="U155" s="210" t="s">
        <v>87</v>
      </c>
    </row>
    <row r="156" spans="1:21" x14ac:dyDescent="0.25">
      <c r="A156" s="121"/>
      <c r="B156" s="141"/>
      <c r="C156" s="163"/>
      <c r="D156" s="256"/>
      <c r="E156" s="398"/>
      <c r="F156" s="398"/>
      <c r="G156" s="399"/>
      <c r="H156" s="400"/>
      <c r="I156" s="507"/>
      <c r="J156" s="362"/>
      <c r="K156" s="423"/>
      <c r="L156" s="423"/>
      <c r="M156" s="381"/>
      <c r="N156" s="141"/>
      <c r="O156" s="121"/>
      <c r="P156" s="127"/>
      <c r="Q156" s="508"/>
      <c r="R156" s="509"/>
      <c r="S156" s="508"/>
      <c r="T156" s="508"/>
      <c r="U156" s="210" t="s">
        <v>87</v>
      </c>
    </row>
    <row r="157" spans="1:21" x14ac:dyDescent="0.25">
      <c r="A157" s="121"/>
      <c r="B157" s="141"/>
      <c r="C157" s="163"/>
      <c r="D157" s="164"/>
      <c r="E157" s="382"/>
      <c r="F157" s="382"/>
      <c r="G157" s="401"/>
      <c r="H157" s="382"/>
      <c r="I157" s="507"/>
      <c r="J157" s="362"/>
      <c r="K157" s="362"/>
      <c r="L157" s="362"/>
      <c r="M157" s="381"/>
      <c r="N157" s="141"/>
      <c r="O157" s="121"/>
      <c r="P157" s="127"/>
      <c r="Q157" s="402"/>
      <c r="R157" s="484"/>
      <c r="S157" s="402"/>
      <c r="T157" s="402"/>
      <c r="U157" s="210" t="s">
        <v>87</v>
      </c>
    </row>
    <row r="158" spans="1:21" ht="21" x14ac:dyDescent="0.35">
      <c r="A158" s="343"/>
      <c r="B158" s="344"/>
      <c r="C158" s="345"/>
      <c r="D158" s="477" t="s">
        <v>10</v>
      </c>
      <c r="E158" s="478"/>
      <c r="F158" s="478"/>
      <c r="G158" s="478"/>
      <c r="H158" s="361"/>
      <c r="I158" s="514"/>
      <c r="J158" s="352"/>
      <c r="K158" s="352"/>
      <c r="L158" s="352"/>
      <c r="M158" s="490"/>
      <c r="N158" s="344"/>
      <c r="O158" s="343"/>
      <c r="P158" s="352"/>
      <c r="Q158" s="402"/>
      <c r="R158" s="484"/>
      <c r="S158" s="402"/>
      <c r="T158" s="402"/>
      <c r="U158" s="210" t="s">
        <v>87</v>
      </c>
    </row>
    <row r="159" spans="1:21" ht="8.1" customHeight="1" x14ac:dyDescent="0.25">
      <c r="A159" s="121"/>
      <c r="B159" s="158"/>
      <c r="C159" s="366"/>
      <c r="D159" s="404"/>
      <c r="E159" s="405"/>
      <c r="F159" s="219"/>
      <c r="G159" s="219"/>
      <c r="H159" s="369"/>
      <c r="I159" s="515"/>
      <c r="J159" s="219"/>
      <c r="K159" s="219"/>
      <c r="L159" s="219"/>
      <c r="M159" s="371"/>
      <c r="N159" s="158"/>
      <c r="O159" s="121"/>
      <c r="P159" s="219"/>
      <c r="Q159" s="402"/>
      <c r="R159" s="484"/>
      <c r="S159" s="402"/>
      <c r="T159" s="402"/>
      <c r="U159" s="210" t="s">
        <v>87</v>
      </c>
    </row>
    <row r="160" spans="1:21" ht="15.75" thickBot="1" x14ac:dyDescent="0.3">
      <c r="A160" s="121"/>
      <c r="B160" s="141"/>
      <c r="C160" s="163"/>
      <c r="D160" s="247"/>
      <c r="E160" s="382" t="s">
        <v>122</v>
      </c>
      <c r="F160" s="516" t="str">
        <f>IF(R153="nei","",R160)</f>
        <v/>
      </c>
      <c r="G160" s="438"/>
      <c r="H160" s="380"/>
      <c r="I160" s="513" t="str">
        <f t="shared" ref="I160:I163" si="22">S160</f>
        <v/>
      </c>
      <c r="J160" s="439"/>
      <c r="K160" s="439"/>
      <c r="L160" s="439"/>
      <c r="M160" s="381"/>
      <c r="N160" s="141"/>
      <c r="O160" s="121"/>
      <c r="P160" s="440"/>
      <c r="Q160" s="253" t="s">
        <v>122</v>
      </c>
      <c r="R160" s="497" t="e">
        <f>R136*R154</f>
        <v>#DIV/0!</v>
      </c>
      <c r="S160" s="253" t="str" cm="1">
        <f t="array" ref="S160">_xlfn.IFS(AND(I165=TRUE,R153="NEI"),$R$11,I165=TRUE,T160,TRUE,"")</f>
        <v/>
      </c>
      <c r="T160" s="433" t="str">
        <f>"➡️ "&amp;TEXT(F160,"# ##0")&amp;" kr  =   "&amp;F136&amp;" total arbeidstimer  x  "&amp;TEXT(F154,"#,##")&amp;" kroner per time"</f>
        <v>➡️  kr  =    total arbeidstimer  x   kroner per time</v>
      </c>
      <c r="U160" s="210" t="s">
        <v>87</v>
      </c>
    </row>
    <row r="161" spans="1:21" ht="16.5" thickTop="1" thickBot="1" x14ac:dyDescent="0.3">
      <c r="A161" s="121"/>
      <c r="B161" s="141"/>
      <c r="C161" s="163"/>
      <c r="D161" s="247"/>
      <c r="E161" s="382" t="s">
        <v>33</v>
      </c>
      <c r="F161" s="516" t="str">
        <f>IF(R153="nei","",R161)</f>
        <v/>
      </c>
      <c r="G161" s="438"/>
      <c r="H161" s="380"/>
      <c r="I161" s="513" t="str">
        <f t="shared" si="22"/>
        <v/>
      </c>
      <c r="J161" s="435"/>
      <c r="K161" s="435"/>
      <c r="L161" s="435"/>
      <c r="M161" s="381"/>
      <c r="N161" s="141"/>
      <c r="O161" s="121"/>
      <c r="P161" s="440"/>
      <c r="Q161" s="253" t="s">
        <v>33</v>
      </c>
      <c r="R161" s="505" t="e">
        <f>R160*R148</f>
        <v>#DIV/0!</v>
      </c>
      <c r="S161" s="253" t="str" cm="1">
        <f t="array" ref="S161">_xlfn.IFS(AND(I165=TRUE,R153="NEI"),$R$11,I165=TRUE,T161,TRUE,"")</f>
        <v/>
      </c>
      <c r="T161" s="433" t="str">
        <f>"➡️ "&amp;TEXT(F161,"# ##0")&amp;" kr = "&amp;TEXT(F160,"# ##0")&amp;" kr lønn  x  "&amp;TEXT(F148,"#,0 %")&amp;" feriepenger sats"</f>
        <v>➡️  kr =  kr lønn  x  Velg fra liste…. feriepenger sats</v>
      </c>
      <c r="U161" s="210" t="s">
        <v>87</v>
      </c>
    </row>
    <row r="162" spans="1:21" ht="16.5" thickTop="1" thickBot="1" x14ac:dyDescent="0.3">
      <c r="A162" s="121"/>
      <c r="B162" s="141"/>
      <c r="C162" s="163"/>
      <c r="D162" s="247"/>
      <c r="E162" s="382" t="s">
        <v>124</v>
      </c>
      <c r="F162" s="516" t="str">
        <f>IF(R153="nei","",R162)</f>
        <v/>
      </c>
      <c r="G162" s="438"/>
      <c r="H162" s="380"/>
      <c r="I162" s="513" t="str">
        <f t="shared" si="22"/>
        <v/>
      </c>
      <c r="J162" s="435"/>
      <c r="K162" s="435"/>
      <c r="L162" s="435"/>
      <c r="M162" s="381"/>
      <c r="N162" s="141"/>
      <c r="O162" s="121"/>
      <c r="P162" s="440"/>
      <c r="Q162" s="253" t="s">
        <v>124</v>
      </c>
      <c r="R162" s="505" t="e">
        <f>SUM(R160:R161)*R149</f>
        <v>#DIV/0!</v>
      </c>
      <c r="S162" s="253" t="str" cm="1">
        <f t="array" ref="S162">_xlfn.IFS(AND(I165=TRUE,R153="NEI"),$R$11,I165=TRUE,T162,TRUE,"")</f>
        <v/>
      </c>
      <c r="T162" s="433" t="str">
        <f>"➡️ "&amp;TEXT(F162,"# ##0")&amp;" kr  = ("&amp;TEXT(F160,"# ##0")&amp;" kr lønn + "&amp;TEXT(F161,"# ##0")&amp;" kr feriepenger) x "&amp;TEXT(F149,"#,0 %")&amp;" pensjon"</f>
        <v>➡️  kr  = ( kr lønn +  kr feriepenger) x 11,0 % pensjon</v>
      </c>
      <c r="U162" s="210" t="s">
        <v>87</v>
      </c>
    </row>
    <row r="163" spans="1:21" ht="16.5" customHeight="1" thickTop="1" thickBot="1" x14ac:dyDescent="0.3">
      <c r="A163" s="121"/>
      <c r="B163" s="141"/>
      <c r="C163" s="163"/>
      <c r="D163" s="247"/>
      <c r="E163" s="382" t="s">
        <v>22</v>
      </c>
      <c r="F163" s="516" t="str">
        <f>IF(R153="nei","",R163)</f>
        <v/>
      </c>
      <c r="G163" s="438"/>
      <c r="H163" s="380"/>
      <c r="I163" s="513" t="str">
        <f t="shared" si="22"/>
        <v/>
      </c>
      <c r="J163" s="435"/>
      <c r="K163" s="435"/>
      <c r="L163" s="435"/>
      <c r="M163" s="381"/>
      <c r="N163" s="141"/>
      <c r="O163" s="121"/>
      <c r="P163" s="440"/>
      <c r="Q163" s="253" t="s">
        <v>22</v>
      </c>
      <c r="R163" s="505" t="e">
        <f>SUM(R160:R162)*R151</f>
        <v>#DIV/0!</v>
      </c>
      <c r="S163" s="253" t="str" cm="1">
        <f t="array" ref="S163">_xlfn.IFS(AND(I165=TRUE,R153="NEI"),$R$11,I165=TRUE,T163,TRUE,"")</f>
        <v/>
      </c>
      <c r="T163" s="433" t="str">
        <f>"➡️ "&amp;TEXT(F163,"# ##0")&amp;" kr = ("&amp;TEXT(F160,"# ##0")&amp;" kr + "&amp;TEXT(F161,"# ##0")&amp;" kr f.p. + "&amp;TEXT(F162,"# ##0")&amp;" kr pensjon)  x  "&amp;TEXT(F151,"#,0 %")&amp;" aga "</f>
        <v xml:space="preserve">➡️  kr = ( kr +  kr f.p. +  kr pensjon)  x  Velg fra liste…. aga </v>
      </c>
      <c r="U163" s="210" t="s">
        <v>87</v>
      </c>
    </row>
    <row r="164" spans="1:21" ht="6" customHeight="1" thickTop="1" x14ac:dyDescent="0.25">
      <c r="A164" s="121"/>
      <c r="B164" s="141"/>
      <c r="C164" s="163"/>
      <c r="D164" s="247"/>
      <c r="E164" s="208"/>
      <c r="F164" s="236"/>
      <c r="G164" s="438"/>
      <c r="H164" s="517"/>
      <c r="I164" s="518"/>
      <c r="J164" s="435"/>
      <c r="K164" s="435"/>
      <c r="L164" s="435"/>
      <c r="M164" s="381"/>
      <c r="N164" s="141"/>
      <c r="O164" s="121"/>
      <c r="P164" s="127"/>
      <c r="Q164" s="402"/>
      <c r="R164" s="484"/>
      <c r="S164" s="402"/>
      <c r="T164" s="402"/>
      <c r="U164" s="210"/>
    </row>
    <row r="165" spans="1:21" ht="18.75" customHeight="1" x14ac:dyDescent="0.3">
      <c r="A165" s="121"/>
      <c r="B165" s="158"/>
      <c r="C165" s="445"/>
      <c r="D165" s="446"/>
      <c r="E165" s="447" t="s">
        <v>125</v>
      </c>
      <c r="F165" s="285" t="str">
        <f>IF(R153="nei","",R165)</f>
        <v/>
      </c>
      <c r="G165" s="448"/>
      <c r="H165" s="449"/>
      <c r="I165" s="84" t="b">
        <v>0</v>
      </c>
      <c r="J165" s="450" t="s">
        <v>126</v>
      </c>
      <c r="K165" s="127"/>
      <c r="L165" s="127"/>
      <c r="M165" s="371"/>
      <c r="N165" s="158"/>
      <c r="O165" s="121"/>
      <c r="P165" s="578" t="str">
        <f>P129&amp;"c"</f>
        <v>3c</v>
      </c>
      <c r="Q165" s="253" t="s">
        <v>125</v>
      </c>
      <c r="R165" s="505" t="e">
        <f>SUM(R160:R163)</f>
        <v>#DIV/0!</v>
      </c>
      <c r="S165" s="253"/>
      <c r="T165" s="253"/>
      <c r="U165" s="210"/>
    </row>
    <row r="166" spans="1:21" ht="6" customHeight="1" x14ac:dyDescent="0.25">
      <c r="A166" s="121"/>
      <c r="B166" s="141"/>
      <c r="C166" s="163"/>
      <c r="D166" s="256"/>
      <c r="E166" s="257"/>
      <c r="F166" s="288"/>
      <c r="G166" s="442"/>
      <c r="H166" s="443"/>
      <c r="I166" s="519"/>
      <c r="J166" s="435"/>
      <c r="K166" s="435"/>
      <c r="L166" s="435"/>
      <c r="M166" s="381"/>
      <c r="N166" s="141"/>
      <c r="O166" s="121"/>
      <c r="P166" s="127"/>
      <c r="Q166" s="402"/>
      <c r="R166" s="484"/>
      <c r="S166" s="402"/>
      <c r="T166" s="402"/>
      <c r="U166" s="210"/>
    </row>
    <row r="167" spans="1:21" x14ac:dyDescent="0.25">
      <c r="A167" s="121"/>
      <c r="B167" s="141"/>
      <c r="C167" s="163"/>
      <c r="D167" s="164"/>
      <c r="E167" s="208"/>
      <c r="F167" s="236"/>
      <c r="G167" s="438"/>
      <c r="H167" s="451"/>
      <c r="I167" s="519"/>
      <c r="J167" s="435"/>
      <c r="K167" s="435"/>
      <c r="L167" s="435"/>
      <c r="M167" s="381"/>
      <c r="N167" s="141"/>
      <c r="O167" s="121"/>
      <c r="P167" s="127"/>
      <c r="Q167" s="402"/>
      <c r="R167" s="484"/>
      <c r="S167" s="402"/>
      <c r="T167" s="520" t="str" cm="1">
        <f t="array" ref="T167">_xlfn.IFS(ISBLANK(F135),"",R135=0,"Forklar i kommentarfeltet hvorfor dere søker om pedagogisk tiltak uten at PPT har tilrådet.",R136&gt;R135,T168,TRUE,"")</f>
        <v/>
      </c>
      <c r="U167" s="210"/>
    </row>
    <row r="168" spans="1:21" x14ac:dyDescent="0.25">
      <c r="A168" s="121"/>
      <c r="B168" s="141"/>
      <c r="C168" s="163"/>
      <c r="D168" s="452"/>
      <c r="E168" s="81" t="str">
        <f>IF(E169="","Skriv kommentar:","")</f>
        <v>Skriv kommentar:</v>
      </c>
      <c r="F168" s="81"/>
      <c r="G168" s="81"/>
      <c r="H168" s="82"/>
      <c r="I168" s="519"/>
      <c r="J168" s="759" t="str">
        <f>IF(S168&amp;S169&amp;S170="","","⚠️Vi trenger mer informasjon")</f>
        <v/>
      </c>
      <c r="K168" s="760"/>
      <c r="L168" s="423"/>
      <c r="M168" s="381"/>
      <c r="N168" s="141"/>
      <c r="O168" s="121"/>
      <c r="P168" s="127"/>
      <c r="Q168" s="253" t="s">
        <v>140</v>
      </c>
      <c r="R168" s="521"/>
      <c r="S168" s="453" t="str">
        <f>U168&amp;T167</f>
        <v/>
      </c>
      <c r="T168" s="379" t="s">
        <v>141</v>
      </c>
      <c r="U168" s="522" t="str">
        <f>IF(AND(T167&lt;&gt;"",OR(T169&lt;&gt;"",T170&lt;&gt;"")),"1. ","")</f>
        <v/>
      </c>
    </row>
    <row r="169" spans="1:21" x14ac:dyDescent="0.25">
      <c r="A169" s="121"/>
      <c r="B169" s="141"/>
      <c r="C169" s="163"/>
      <c r="D169" s="454"/>
      <c r="E169" s="753"/>
      <c r="F169" s="753"/>
      <c r="G169" s="753"/>
      <c r="H169" s="455"/>
      <c r="I169" s="519"/>
      <c r="J169" s="747" t="str">
        <f>_xlfn.TEXTJOIN(CHAR(10)&amp;CHAR(10),TRUE,S168,S169,S170)</f>
        <v/>
      </c>
      <c r="K169" s="749"/>
      <c r="L169" s="574"/>
      <c r="M169" s="381"/>
      <c r="N169" s="141"/>
      <c r="O169" s="121"/>
      <c r="P169" s="127"/>
      <c r="Q169" s="253" t="s">
        <v>127</v>
      </c>
      <c r="R169" s="521"/>
      <c r="S169" s="453" t="str">
        <f>U169&amp;T169</f>
        <v/>
      </c>
      <c r="T169" s="379" t="str">
        <f>IFERROR(IF(R155&gt;$R$6,$S$6,""),"")</f>
        <v/>
      </c>
      <c r="U169" s="522" t="str" cm="1">
        <f t="array" ref="U169">_xlfn.IFS(T169="","",T167&lt;&gt;"","2. ",T170&lt;&gt;"","1. ",TRUE,"")</f>
        <v/>
      </c>
    </row>
    <row r="170" spans="1:21" x14ac:dyDescent="0.25">
      <c r="A170" s="121"/>
      <c r="B170" s="141"/>
      <c r="C170" s="163"/>
      <c r="D170" s="454"/>
      <c r="E170" s="753"/>
      <c r="F170" s="753"/>
      <c r="G170" s="753"/>
      <c r="H170" s="455"/>
      <c r="I170" s="519"/>
      <c r="J170" s="747"/>
      <c r="K170" s="749"/>
      <c r="L170" s="574"/>
      <c r="M170" s="381"/>
      <c r="N170" s="141"/>
      <c r="O170" s="121"/>
      <c r="P170" s="127"/>
      <c r="Q170" s="253" t="s">
        <v>280</v>
      </c>
      <c r="R170" s="521"/>
      <c r="S170" s="453" t="str">
        <f>U170&amp;T170</f>
        <v/>
      </c>
      <c r="T170" s="379" t="str">
        <f>IF(F150=-2%,"",$S$7)</f>
        <v/>
      </c>
      <c r="U170" s="522" t="str" cm="1">
        <f t="array" ref="U170">_xlfn.IFS(T170="","",AND(T167&lt;&gt;"",T169&lt;&gt;""),"3. ",AND(T167="",T169=""),"",TRUE,"2. ")</f>
        <v/>
      </c>
    </row>
    <row r="171" spans="1:21" x14ac:dyDescent="0.25">
      <c r="A171" s="121"/>
      <c r="B171" s="141"/>
      <c r="C171" s="163"/>
      <c r="D171" s="454"/>
      <c r="E171" s="753"/>
      <c r="F171" s="753"/>
      <c r="G171" s="753"/>
      <c r="H171" s="455"/>
      <c r="I171" s="519"/>
      <c r="J171" s="747"/>
      <c r="K171" s="749"/>
      <c r="L171" s="574"/>
      <c r="M171" s="381"/>
      <c r="N171" s="141"/>
      <c r="O171" s="121"/>
      <c r="P171" s="127"/>
      <c r="Q171" s="210"/>
      <c r="R171" s="210"/>
      <c r="S171" s="210"/>
      <c r="T171" s="210"/>
      <c r="U171" s="210"/>
    </row>
    <row r="172" spans="1:21" x14ac:dyDescent="0.25">
      <c r="A172" s="121"/>
      <c r="B172" s="141"/>
      <c r="C172" s="163"/>
      <c r="D172" s="454"/>
      <c r="E172" s="753"/>
      <c r="F172" s="753"/>
      <c r="G172" s="753"/>
      <c r="H172" s="455"/>
      <c r="I172" s="519"/>
      <c r="J172" s="747"/>
      <c r="K172" s="749"/>
      <c r="L172" s="574"/>
      <c r="M172" s="381"/>
      <c r="N172" s="141"/>
      <c r="O172" s="121"/>
      <c r="P172" s="127"/>
      <c r="Q172" s="210"/>
      <c r="R172" s="210"/>
      <c r="S172" s="210"/>
      <c r="T172" s="210"/>
      <c r="U172" s="210"/>
    </row>
    <row r="173" spans="1:21" x14ac:dyDescent="0.25">
      <c r="A173" s="121"/>
      <c r="B173" s="141"/>
      <c r="C173" s="163"/>
      <c r="D173" s="454"/>
      <c r="E173" s="753"/>
      <c r="F173" s="753"/>
      <c r="G173" s="753"/>
      <c r="H173" s="455"/>
      <c r="I173" s="519"/>
      <c r="J173" s="747"/>
      <c r="K173" s="749"/>
      <c r="L173" s="574"/>
      <c r="M173" s="381"/>
      <c r="N173" s="141"/>
      <c r="O173" s="121"/>
      <c r="P173" s="127"/>
      <c r="Q173" s="210"/>
      <c r="R173" s="210"/>
      <c r="S173" s="210"/>
      <c r="T173" s="210"/>
      <c r="U173" s="210"/>
    </row>
    <row r="174" spans="1:21" x14ac:dyDescent="0.25">
      <c r="A174" s="121"/>
      <c r="B174" s="141"/>
      <c r="C174" s="163"/>
      <c r="D174" s="458"/>
      <c r="E174" s="754"/>
      <c r="F174" s="754"/>
      <c r="G174" s="754"/>
      <c r="H174" s="459"/>
      <c r="I174" s="519"/>
      <c r="J174" s="750"/>
      <c r="K174" s="752"/>
      <c r="L174" s="574"/>
      <c r="M174" s="381"/>
      <c r="N174" s="141"/>
      <c r="O174" s="121"/>
      <c r="P174" s="127"/>
      <c r="Q174" s="210"/>
      <c r="R174" s="210"/>
      <c r="S174" s="210"/>
      <c r="T174" s="210"/>
      <c r="U174" s="210"/>
    </row>
    <row r="175" spans="1:21" ht="8.1" customHeight="1" x14ac:dyDescent="0.25">
      <c r="A175" s="121"/>
      <c r="B175" s="141"/>
      <c r="C175" s="163"/>
      <c r="D175" s="460"/>
      <c r="E175" s="461"/>
      <c r="F175" s="461"/>
      <c r="G175" s="461"/>
      <c r="H175" s="460"/>
      <c r="I175" s="444"/>
      <c r="J175" s="462"/>
      <c r="K175" s="462"/>
      <c r="L175" s="462"/>
      <c r="M175" s="381"/>
      <c r="N175" s="141"/>
      <c r="O175" s="121"/>
      <c r="P175" s="127"/>
      <c r="Q175" s="210"/>
      <c r="R175" s="210"/>
      <c r="S175" s="210"/>
      <c r="T175" s="210"/>
      <c r="U175" s="210"/>
    </row>
    <row r="176" spans="1:21" x14ac:dyDescent="0.25">
      <c r="A176" s="121"/>
      <c r="B176" s="141"/>
      <c r="C176" s="163"/>
      <c r="D176" s="574"/>
      <c r="E176" s="574"/>
      <c r="F176" s="574"/>
      <c r="G176" s="574"/>
      <c r="H176" s="574"/>
      <c r="I176" s="444"/>
      <c r="J176" s="462"/>
      <c r="K176" s="462"/>
      <c r="L176" s="462"/>
      <c r="M176" s="381"/>
      <c r="N176" s="141"/>
      <c r="O176" s="121"/>
      <c r="P176" s="127"/>
      <c r="Q176" s="210"/>
      <c r="R176" s="210"/>
      <c r="S176" s="210"/>
      <c r="T176" s="210"/>
      <c r="U176" s="210"/>
    </row>
    <row r="177" spans="1:21" x14ac:dyDescent="0.25">
      <c r="A177" s="121"/>
      <c r="B177" s="141"/>
      <c r="C177" s="163"/>
      <c r="D177" s="740" t="s">
        <v>287</v>
      </c>
      <c r="E177" s="741"/>
      <c r="F177" s="741"/>
      <c r="G177" s="741"/>
      <c r="H177" s="741"/>
      <c r="I177" s="737" t="s">
        <v>288</v>
      </c>
      <c r="J177" s="737"/>
      <c r="K177" s="617" t="s">
        <v>289</v>
      </c>
      <c r="L177" s="618"/>
      <c r="M177" s="381"/>
      <c r="N177" s="141"/>
      <c r="O177" s="121"/>
      <c r="P177" s="127"/>
      <c r="Q177" s="210"/>
      <c r="R177" s="210"/>
      <c r="S177" s="210"/>
      <c r="T177" s="210"/>
      <c r="U177" s="210"/>
    </row>
    <row r="178" spans="1:21" ht="38.25" customHeight="1" x14ac:dyDescent="0.25">
      <c r="A178" s="121"/>
      <c r="B178" s="141"/>
      <c r="C178" s="163"/>
      <c r="D178" s="619"/>
      <c r="E178" s="742"/>
      <c r="F178" s="742"/>
      <c r="G178" s="742"/>
      <c r="H178" s="743"/>
      <c r="I178" s="738"/>
      <c r="J178" s="739"/>
      <c r="K178" s="718"/>
      <c r="L178" s="620"/>
      <c r="M178" s="381"/>
      <c r="N178" s="141"/>
      <c r="O178" s="121"/>
      <c r="P178" s="127"/>
      <c r="Q178" s="210"/>
      <c r="R178" s="210"/>
      <c r="S178" s="210"/>
      <c r="T178" s="210"/>
      <c r="U178" s="210"/>
    </row>
    <row r="179" spans="1:21" x14ac:dyDescent="0.25">
      <c r="A179" s="121"/>
      <c r="B179" s="141"/>
      <c r="C179" s="163"/>
      <c r="D179" s="460"/>
      <c r="E179" s="461"/>
      <c r="F179" s="461"/>
      <c r="G179" s="461"/>
      <c r="H179" s="460"/>
      <c r="I179" s="519"/>
      <c r="J179" s="609"/>
      <c r="K179" s="609"/>
      <c r="L179" s="609"/>
      <c r="M179" s="381"/>
      <c r="N179" s="141"/>
      <c r="O179" s="121"/>
      <c r="P179" s="127"/>
      <c r="Q179" s="210"/>
      <c r="R179" s="210"/>
      <c r="S179" s="210"/>
      <c r="T179" s="210"/>
      <c r="U179" s="210"/>
    </row>
    <row r="180" spans="1:21" x14ac:dyDescent="0.25">
      <c r="A180" s="121"/>
      <c r="B180" s="141"/>
      <c r="C180" s="141"/>
      <c r="D180" s="141"/>
      <c r="E180" s="523"/>
      <c r="F180" s="523"/>
      <c r="G180" s="524"/>
      <c r="H180" s="198"/>
      <c r="I180" s="467"/>
      <c r="J180" s="141"/>
      <c r="K180" s="141"/>
      <c r="L180" s="141"/>
      <c r="M180" s="141"/>
      <c r="N180" s="141"/>
      <c r="O180" s="121"/>
      <c r="P180" s="127"/>
      <c r="Q180" s="340"/>
      <c r="R180" s="463"/>
      <c r="S180" s="463"/>
      <c r="T180" s="525"/>
      <c r="U180" s="210"/>
    </row>
    <row r="181" spans="1:21" ht="6" customHeight="1" x14ac:dyDescent="0.25">
      <c r="A181" s="121"/>
      <c r="B181" s="121"/>
      <c r="C181" s="121"/>
      <c r="D181" s="121"/>
      <c r="E181" s="121"/>
      <c r="F181" s="121"/>
      <c r="G181" s="123"/>
      <c r="H181" s="124"/>
      <c r="I181" s="472"/>
      <c r="J181" s="121"/>
      <c r="K181" s="121"/>
      <c r="L181" s="121"/>
      <c r="M181" s="121"/>
      <c r="N181" s="121"/>
      <c r="O181" s="121"/>
      <c r="P181" s="127"/>
      <c r="Q181" s="210"/>
      <c r="R181" s="210"/>
      <c r="S181" s="210"/>
      <c r="T181" s="210"/>
      <c r="U181" s="210"/>
    </row>
    <row r="182" spans="1:21" x14ac:dyDescent="0.25">
      <c r="A182" s="121"/>
      <c r="B182" s="141"/>
      <c r="C182" s="141"/>
      <c r="D182" s="141"/>
      <c r="E182" s="141"/>
      <c r="F182" s="141"/>
      <c r="G182" s="319"/>
      <c r="H182" s="198"/>
      <c r="I182" s="467"/>
      <c r="J182" s="141"/>
      <c r="K182" s="141"/>
      <c r="L182" s="141"/>
      <c r="M182" s="141"/>
      <c r="N182" s="141"/>
      <c r="O182" s="121"/>
      <c r="P182" s="127"/>
      <c r="Q182" s="340"/>
      <c r="R182" s="341"/>
      <c r="S182" s="341"/>
      <c r="T182" s="473"/>
      <c r="U182" s="210"/>
    </row>
    <row r="183" spans="1:21" x14ac:dyDescent="0.25">
      <c r="A183" s="121"/>
      <c r="B183" s="141"/>
      <c r="C183" s="292"/>
      <c r="D183" s="293"/>
      <c r="E183" s="293"/>
      <c r="F183" s="294"/>
      <c r="G183" s="338"/>
      <c r="H183" s="295"/>
      <c r="I183" s="474"/>
      <c r="J183" s="293"/>
      <c r="K183" s="293"/>
      <c r="L183" s="293"/>
      <c r="M183" s="162"/>
      <c r="N183" s="141"/>
      <c r="O183" s="121"/>
      <c r="P183" s="127"/>
      <c r="Q183" s="340" t="s">
        <v>81</v>
      </c>
      <c r="R183" s="210"/>
      <c r="S183" s="210"/>
      <c r="T183" s="210"/>
      <c r="U183" s="210"/>
    </row>
    <row r="184" spans="1:21" ht="21" x14ac:dyDescent="0.25">
      <c r="A184" s="343"/>
      <c r="B184" s="344"/>
      <c r="C184" s="345"/>
      <c r="D184" s="346"/>
      <c r="E184" s="347" t="str">
        <f>"Beregning "&amp;P184</f>
        <v>Beregning 4</v>
      </c>
      <c r="F184" s="346"/>
      <c r="G184" s="346"/>
      <c r="H184" s="349"/>
      <c r="I184" s="475"/>
      <c r="J184" s="476"/>
      <c r="K184" s="346"/>
      <c r="L184" s="346"/>
      <c r="M184" s="351"/>
      <c r="N184" s="344"/>
      <c r="O184" s="343"/>
      <c r="P184" s="352">
        <f>COUNTIF($D$16:D185,"tiltaket")</f>
        <v>4</v>
      </c>
      <c r="Q184" s="353" t="s">
        <v>83</v>
      </c>
      <c r="R184" s="353" t="s">
        <v>84</v>
      </c>
      <c r="S184" s="353" t="s">
        <v>85</v>
      </c>
      <c r="T184" s="353" t="s">
        <v>86</v>
      </c>
      <c r="U184" s="354"/>
    </row>
    <row r="185" spans="1:21" ht="21" x14ac:dyDescent="0.35">
      <c r="A185" s="343"/>
      <c r="B185" s="344"/>
      <c r="C185" s="345"/>
      <c r="D185" s="477" t="s">
        <v>88</v>
      </c>
      <c r="E185" s="478"/>
      <c r="F185" s="478"/>
      <c r="G185" s="478"/>
      <c r="H185" s="361"/>
      <c r="I185" s="349"/>
      <c r="J185" s="352"/>
      <c r="K185" s="346"/>
      <c r="L185" s="346"/>
      <c r="M185" s="351"/>
      <c r="N185" s="344"/>
      <c r="O185" s="343"/>
      <c r="P185" s="363"/>
      <c r="Q185" s="365"/>
      <c r="R185" s="365"/>
      <c r="S185" s="365"/>
      <c r="T185" s="365"/>
      <c r="U185" s="354"/>
    </row>
    <row r="186" spans="1:21" ht="8.1" customHeight="1" x14ac:dyDescent="0.25">
      <c r="A186" s="121"/>
      <c r="B186" s="158"/>
      <c r="C186" s="366"/>
      <c r="D186" s="367"/>
      <c r="E186" s="219"/>
      <c r="F186" s="219"/>
      <c r="G186" s="219"/>
      <c r="H186" s="369"/>
      <c r="I186" s="479"/>
      <c r="J186" s="376"/>
      <c r="K186" s="376"/>
      <c r="L186" s="376"/>
      <c r="M186" s="377"/>
      <c r="N186" s="158"/>
      <c r="O186" s="121"/>
      <c r="P186" s="219"/>
      <c r="Q186" s="402"/>
      <c r="R186" s="402"/>
      <c r="S186" s="402"/>
      <c r="T186" s="402"/>
      <c r="U186" s="354"/>
    </row>
    <row r="187" spans="1:21" ht="15.75" x14ac:dyDescent="0.3">
      <c r="A187" s="121"/>
      <c r="B187" s="141"/>
      <c r="C187" s="163"/>
      <c r="D187" s="247"/>
      <c r="E187" s="373" t="s">
        <v>89</v>
      </c>
      <c r="F187" s="645"/>
      <c r="G187" s="250" t="s">
        <v>90</v>
      </c>
      <c r="H187" s="375"/>
      <c r="I187" s="480" t="str">
        <f>S187</f>
        <v xml:space="preserve">*obligatorisk </v>
      </c>
      <c r="J187" s="481"/>
      <c r="K187" s="376"/>
      <c r="L187" s="376"/>
      <c r="M187" s="377"/>
      <c r="N187" s="158"/>
      <c r="O187" s="121"/>
      <c r="P187" s="575" t="str">
        <f>P184&amp;"a"</f>
        <v>4a</v>
      </c>
      <c r="Q187" s="482" t="str">
        <f>D185</f>
        <v>Tiltaket</v>
      </c>
      <c r="R187" s="483"/>
      <c r="S187" s="482" t="str" cm="1">
        <f t="array" ref="S187">_xlfn.IFS(F187="",$R$8,TRUE,"")</f>
        <v xml:space="preserve">*obligatorisk </v>
      </c>
      <c r="T187" s="482"/>
      <c r="U187" s="210"/>
    </row>
    <row r="188" spans="1:21" ht="6.75" customHeight="1" x14ac:dyDescent="0.25">
      <c r="A188" s="121"/>
      <c r="B188" s="141"/>
      <c r="C188" s="163"/>
      <c r="D188" s="247"/>
      <c r="E188" s="382"/>
      <c r="F188" s="382"/>
      <c r="G188" s="374"/>
      <c r="H188" s="375"/>
      <c r="I188" s="480"/>
      <c r="J188" s="376"/>
      <c r="K188" s="376"/>
      <c r="L188" s="376"/>
      <c r="M188" s="377"/>
      <c r="N188" s="158"/>
      <c r="O188" s="121"/>
      <c r="P188" s="219"/>
      <c r="Q188" s="402"/>
      <c r="R188" s="484"/>
      <c r="S188" s="402"/>
      <c r="T188" s="402"/>
      <c r="U188" s="210"/>
    </row>
    <row r="189" spans="1:21" x14ac:dyDescent="0.25">
      <c r="A189" s="121"/>
      <c r="B189" s="141"/>
      <c r="C189" s="163"/>
      <c r="D189" s="247"/>
      <c r="E189" s="384" t="s">
        <v>92</v>
      </c>
      <c r="F189" s="485"/>
      <c r="G189" s="385"/>
      <c r="H189" s="380"/>
      <c r="I189" s="420"/>
      <c r="J189" s="362"/>
      <c r="K189" s="362"/>
      <c r="L189" s="362"/>
      <c r="M189" s="381"/>
      <c r="N189" s="141"/>
      <c r="O189" s="121"/>
      <c r="P189" s="127"/>
      <c r="Q189" s="402"/>
      <c r="R189" s="484"/>
      <c r="S189" s="402"/>
      <c r="T189" s="402"/>
      <c r="U189" s="210"/>
    </row>
    <row r="190" spans="1:21" ht="15.75" thickBot="1" x14ac:dyDescent="0.3">
      <c r="A190" s="121"/>
      <c r="B190" s="141"/>
      <c r="C190" s="163"/>
      <c r="D190" s="247"/>
      <c r="E190" s="486" t="s">
        <v>133</v>
      </c>
      <c r="F190" s="646"/>
      <c r="G190" s="374" t="s">
        <v>90</v>
      </c>
      <c r="H190" s="380"/>
      <c r="I190" s="480" t="str">
        <f t="shared" ref="I190" si="23">S190</f>
        <v xml:space="preserve">*obligatorisk </v>
      </c>
      <c r="J190" s="362"/>
      <c r="K190" s="388"/>
      <c r="L190" s="388"/>
      <c r="M190" s="381"/>
      <c r="N190" s="141"/>
      <c r="O190" s="121"/>
      <c r="P190" s="487"/>
      <c r="Q190" s="253" t="str">
        <f>E190</f>
        <v>årstimer tilrådt av PPT (à 60 minutter)</v>
      </c>
      <c r="R190" s="488">
        <f>F190</f>
        <v>0</v>
      </c>
      <c r="S190" s="253" t="str" cm="1">
        <f t="array" ref="S190">_xlfn.IFS(F190="",$R$8,F190=0,$R$10,TRUE,"")</f>
        <v xml:space="preserve">*obligatorisk </v>
      </c>
      <c r="T190" s="253" t="s">
        <v>87</v>
      </c>
      <c r="U190" s="210"/>
    </row>
    <row r="191" spans="1:21" ht="15.75" thickTop="1" x14ac:dyDescent="0.25">
      <c r="A191" s="121"/>
      <c r="B191" s="141"/>
      <c r="C191" s="163"/>
      <c r="D191" s="247"/>
      <c r="E191" s="486" t="s">
        <v>134</v>
      </c>
      <c r="F191" s="647"/>
      <c r="G191" s="374" t="s">
        <v>90</v>
      </c>
      <c r="H191" s="380"/>
      <c r="I191" s="480" t="str">
        <f>S191</f>
        <v xml:space="preserve">*obligatorisk </v>
      </c>
      <c r="J191" s="362"/>
      <c r="K191" s="362"/>
      <c r="L191" s="362"/>
      <c r="M191" s="381"/>
      <c r="N191" s="141"/>
      <c r="O191" s="121"/>
      <c r="P191" s="127"/>
      <c r="Q191" s="253" t="str">
        <f>E191</f>
        <v>undervisningstimer i periode totalt</v>
      </c>
      <c r="R191" s="488">
        <f>F191</f>
        <v>0</v>
      </c>
      <c r="S191" s="253" t="str" cm="1">
        <f t="array" ref="S191">_xlfn.IFS(F191="",$R$8,F190=0,"",F191&gt;F190,$R$10,TRUE,"")</f>
        <v xml:space="preserve">*obligatorisk </v>
      </c>
      <c r="T191" s="253" t="s">
        <v>87</v>
      </c>
      <c r="U191" s="210"/>
    </row>
    <row r="192" spans="1:21" ht="8.1" customHeight="1" x14ac:dyDescent="0.25">
      <c r="A192" s="121"/>
      <c r="B192" s="141"/>
      <c r="C192" s="163"/>
      <c r="D192" s="256"/>
      <c r="E192" s="398"/>
      <c r="F192" s="398"/>
      <c r="G192" s="399"/>
      <c r="H192" s="400"/>
      <c r="I192" s="420"/>
      <c r="J192" s="362"/>
      <c r="K192" s="362"/>
      <c r="L192" s="362"/>
      <c r="M192" s="381"/>
      <c r="N192" s="141"/>
      <c r="O192" s="121"/>
      <c r="P192" s="127"/>
      <c r="Q192" s="402"/>
      <c r="R192" s="484"/>
      <c r="S192" s="402"/>
      <c r="T192" s="402"/>
      <c r="U192" s="210"/>
    </row>
    <row r="193" spans="1:21" x14ac:dyDescent="0.25">
      <c r="A193" s="121"/>
      <c r="B193" s="141"/>
      <c r="C193" s="163"/>
      <c r="D193" s="164"/>
      <c r="E193" s="382"/>
      <c r="F193" s="382"/>
      <c r="G193" s="401"/>
      <c r="H193" s="382"/>
      <c r="I193" s="420"/>
      <c r="J193" s="362"/>
      <c r="K193" s="362"/>
      <c r="L193" s="362"/>
      <c r="M193" s="381"/>
      <c r="N193" s="141"/>
      <c r="O193" s="121"/>
      <c r="P193" s="127"/>
      <c r="Q193" s="402"/>
      <c r="R193" s="484"/>
      <c r="S193" s="402"/>
      <c r="T193" s="402"/>
      <c r="U193" s="210"/>
    </row>
    <row r="194" spans="1:21" ht="21" x14ac:dyDescent="0.35">
      <c r="A194" s="343"/>
      <c r="B194" s="344"/>
      <c r="C194" s="345"/>
      <c r="D194" s="477" t="s">
        <v>102</v>
      </c>
      <c r="E194" s="478"/>
      <c r="F194" s="478"/>
      <c r="G194" s="478"/>
      <c r="H194" s="361"/>
      <c r="I194" s="489"/>
      <c r="J194" s="352"/>
      <c r="K194" s="352"/>
      <c r="L194" s="352"/>
      <c r="M194" s="490"/>
      <c r="N194" s="344"/>
      <c r="O194" s="343"/>
      <c r="P194" s="352"/>
      <c r="Q194" s="402"/>
      <c r="R194" s="484"/>
      <c r="S194" s="402"/>
      <c r="T194" s="402"/>
      <c r="U194" s="354"/>
    </row>
    <row r="195" spans="1:21" ht="8.1" customHeight="1" x14ac:dyDescent="0.25">
      <c r="A195" s="121"/>
      <c r="B195" s="158"/>
      <c r="C195" s="366"/>
      <c r="D195" s="404"/>
      <c r="E195" s="405"/>
      <c r="F195" s="219"/>
      <c r="G195" s="219"/>
      <c r="H195" s="369"/>
      <c r="I195" s="479"/>
      <c r="J195" s="219"/>
      <c r="K195" s="219"/>
      <c r="L195" s="219"/>
      <c r="M195" s="371"/>
      <c r="N195" s="158"/>
      <c r="O195" s="121"/>
      <c r="P195" s="219"/>
      <c r="Q195" s="402"/>
      <c r="R195" s="484"/>
      <c r="S195" s="402"/>
      <c r="T195" s="402"/>
      <c r="U195" s="354"/>
    </row>
    <row r="196" spans="1:21" x14ac:dyDescent="0.25">
      <c r="A196" s="121"/>
      <c r="B196" s="141"/>
      <c r="C196" s="163"/>
      <c r="D196" s="247"/>
      <c r="E196" s="373" t="s">
        <v>103</v>
      </c>
      <c r="F196" s="651"/>
      <c r="G196" s="374" t="s">
        <v>90</v>
      </c>
      <c r="H196" s="380"/>
      <c r="I196" s="480" t="str">
        <f t="shared" ref="I196:I198" si="24">S196</f>
        <v xml:space="preserve">*obligatorisk </v>
      </c>
      <c r="J196" s="362"/>
      <c r="K196" s="362"/>
      <c r="L196" s="362"/>
      <c r="M196" s="381"/>
      <c r="N196" s="141"/>
      <c r="O196" s="121"/>
      <c r="P196" s="575" t="str">
        <f>P184&amp;"b"</f>
        <v>4b</v>
      </c>
      <c r="Q196" s="253" t="str">
        <f>E196</f>
        <v>stillingstittel</v>
      </c>
      <c r="R196" s="378"/>
      <c r="S196" s="253" t="str" cm="1">
        <f t="array" ref="S196">_xlfn.IFS(F196="",$R$8,F196=Innstillinger!$B$8,$R$8,TRUE,"")</f>
        <v xml:space="preserve">*obligatorisk </v>
      </c>
      <c r="T196" s="253"/>
      <c r="U196" s="210"/>
    </row>
    <row r="197" spans="1:21" ht="16.5" customHeight="1" thickBot="1" x14ac:dyDescent="0.35">
      <c r="A197" s="121"/>
      <c r="B197" s="141"/>
      <c r="C197" s="491"/>
      <c r="D197" s="492"/>
      <c r="E197" s="373" t="s">
        <v>135</v>
      </c>
      <c r="F197" s="642"/>
      <c r="G197" s="493" t="s">
        <v>90</v>
      </c>
      <c r="H197" s="494"/>
      <c r="I197" s="480" t="str">
        <f t="shared" si="24"/>
        <v xml:space="preserve">*obligatorisk </v>
      </c>
      <c r="J197" s="495"/>
      <c r="K197" s="496"/>
      <c r="L197" s="496"/>
      <c r="M197" s="166"/>
      <c r="N197" s="141"/>
      <c r="O197" s="121"/>
      <c r="P197" s="127"/>
      <c r="Q197" s="253" t="str">
        <f t="shared" ref="Q197:Q199" si="25">E197</f>
        <v>område</v>
      </c>
      <c r="R197" s="497">
        <f>F197</f>
        <v>0</v>
      </c>
      <c r="S197" s="253" t="str" cm="1">
        <f t="array" ref="S197">_xlfn.IFS(F197="",$R$8,F197=Innstillinger!$B$8,$R$8,TRUE,"")</f>
        <v xml:space="preserve">*obligatorisk </v>
      </c>
      <c r="T197" s="253" t="s">
        <v>87</v>
      </c>
      <c r="U197" s="210"/>
    </row>
    <row r="198" spans="1:21" ht="17.25" thickTop="1" thickBot="1" x14ac:dyDescent="0.35">
      <c r="A198" s="121"/>
      <c r="B198" s="141"/>
      <c r="C198" s="491"/>
      <c r="D198" s="492"/>
      <c r="E198" s="373" t="s">
        <v>136</v>
      </c>
      <c r="F198" s="641" t="s">
        <v>129</v>
      </c>
      <c r="G198" s="498" t="s">
        <v>90</v>
      </c>
      <c r="H198" s="494"/>
      <c r="I198" s="480" t="str">
        <f t="shared" si="24"/>
        <v xml:space="preserve">*obligatorisk </v>
      </c>
      <c r="J198" s="499"/>
      <c r="K198" s="496"/>
      <c r="L198" s="496"/>
      <c r="M198" s="166"/>
      <c r="N198" s="141"/>
      <c r="O198" s="121"/>
      <c r="P198" s="127"/>
      <c r="Q198" s="253" t="str">
        <f t="shared" si="25"/>
        <v>årsramme (à 60 minutter)</v>
      </c>
      <c r="R198" s="497">
        <f>IF(F198=Innstillinger!$B$25,F199,_xlfn.XLOOKUP(F198,Innstillinger!$B$20:$B$24,Innstillinger!$C$20:$C$24,0))</f>
        <v>0</v>
      </c>
      <c r="S198" s="253" t="str" cm="1">
        <f t="array" ref="S198">_xlfn.IFS(F198="",$R$8,F198=Innstillinger!$B$8,$R$8,TRUE,"")</f>
        <v xml:space="preserve">*obligatorisk </v>
      </c>
      <c r="T198" s="253" t="s">
        <v>87</v>
      </c>
      <c r="U198" s="210"/>
    </row>
    <row r="199" spans="1:21" ht="17.25" customHeight="1" thickTop="1" x14ac:dyDescent="0.3">
      <c r="A199" s="121"/>
      <c r="B199" s="141"/>
      <c r="C199" s="491"/>
      <c r="D199" s="492"/>
      <c r="E199" s="500" t="s">
        <v>137</v>
      </c>
      <c r="F199" s="83"/>
      <c r="G199" s="501"/>
      <c r="H199" s="494"/>
      <c r="I199" s="480" t="str">
        <f>S199</f>
        <v/>
      </c>
      <c r="J199" s="502"/>
      <c r="K199" s="496"/>
      <c r="L199" s="496"/>
      <c r="M199" s="166"/>
      <c r="N199" s="141"/>
      <c r="O199" s="121"/>
      <c r="P199" s="127"/>
      <c r="Q199" s="253" t="str">
        <f t="shared" si="25"/>
        <v>Finn riktig årsramme her</v>
      </c>
      <c r="R199" s="378"/>
      <c r="S199" s="253" t="str" cm="1">
        <f t="array" ref="S199">_xlfn.IFS(AND(F199="",F198=Innstillinger!$B$25),$R$8&amp;"; "&amp;T199,TRUE,"")</f>
        <v/>
      </c>
      <c r="T199" s="253" t="s">
        <v>138</v>
      </c>
      <c r="U199" s="210" t="s">
        <v>87</v>
      </c>
    </row>
    <row r="200" spans="1:21" ht="8.1" customHeight="1" x14ac:dyDescent="0.25">
      <c r="A200" s="121"/>
      <c r="B200" s="158"/>
      <c r="C200" s="366"/>
      <c r="D200" s="404"/>
      <c r="E200" s="405"/>
      <c r="F200" s="219"/>
      <c r="G200" s="219"/>
      <c r="H200" s="369"/>
      <c r="I200" s="479"/>
      <c r="J200" s="219"/>
      <c r="K200" s="219"/>
      <c r="L200" s="219"/>
      <c r="M200" s="371"/>
      <c r="N200" s="158"/>
      <c r="O200" s="121"/>
      <c r="P200" s="219"/>
      <c r="Q200" s="402"/>
      <c r="R200" s="484"/>
      <c r="S200" s="402"/>
      <c r="T200" s="402"/>
      <c r="U200" s="210"/>
    </row>
    <row r="201" spans="1:21" x14ac:dyDescent="0.25">
      <c r="A201" s="121"/>
      <c r="B201" s="141"/>
      <c r="C201" s="163"/>
      <c r="D201" s="247"/>
      <c r="E201" s="384" t="s">
        <v>139</v>
      </c>
      <c r="F201" s="409"/>
      <c r="G201" s="374"/>
      <c r="H201" s="380"/>
      <c r="I201" s="420"/>
      <c r="J201" s="362"/>
      <c r="K201" s="362"/>
      <c r="L201" s="362"/>
      <c r="M201" s="381"/>
      <c r="N201" s="141"/>
      <c r="O201" s="121"/>
      <c r="P201" s="127"/>
      <c r="Q201" s="402"/>
      <c r="R201" s="484"/>
      <c r="S201" s="402"/>
      <c r="T201" s="402"/>
      <c r="U201" s="210"/>
    </row>
    <row r="202" spans="1:21" ht="15.75" thickBot="1" x14ac:dyDescent="0.3">
      <c r="A202" s="121"/>
      <c r="B202" s="141"/>
      <c r="C202" s="163"/>
      <c r="D202" s="247"/>
      <c r="E202" s="373" t="s">
        <v>108</v>
      </c>
      <c r="F202" s="650"/>
      <c r="G202" s="503" t="s">
        <v>90</v>
      </c>
      <c r="H202" s="504"/>
      <c r="I202" s="480" t="str">
        <f>S202</f>
        <v xml:space="preserve">*obligatorisk </v>
      </c>
      <c r="J202" s="362"/>
      <c r="K202" s="386"/>
      <c r="L202" s="386"/>
      <c r="M202" s="381"/>
      <c r="N202" s="141"/>
      <c r="O202" s="121"/>
      <c r="P202" s="127"/>
      <c r="Q202" s="253" t="str">
        <f>E202</f>
        <v>årslønn for full stilling</v>
      </c>
      <c r="R202" s="505">
        <f>F202</f>
        <v>0</v>
      </c>
      <c r="S202" s="253" t="str" cm="1">
        <f t="array" ref="S202">_xlfn.IFS(R202=0,$R$8,ISERROR(R210)=TRUE,"",R210&gt;$R$6,$R$10,TRUE,"")</f>
        <v xml:space="preserve">*obligatorisk </v>
      </c>
      <c r="T202" s="253" t="s">
        <v>87</v>
      </c>
      <c r="U202" s="210"/>
    </row>
    <row r="203" spans="1:21" ht="16.5" thickTop="1" thickBot="1" x14ac:dyDescent="0.3">
      <c r="A203" s="121"/>
      <c r="B203" s="141"/>
      <c r="C203" s="163"/>
      <c r="D203" s="247"/>
      <c r="E203" s="373" t="s">
        <v>115</v>
      </c>
      <c r="F203" s="643" t="s">
        <v>129</v>
      </c>
      <c r="G203" s="374" t="s">
        <v>90</v>
      </c>
      <c r="H203" s="380"/>
      <c r="I203" s="480" t="str">
        <f t="shared" ref="I203" si="26">S203</f>
        <v xml:space="preserve">*obligatorisk </v>
      </c>
      <c r="J203" s="421"/>
      <c r="K203" s="421"/>
      <c r="L203" s="421"/>
      <c r="M203" s="381"/>
      <c r="N203" s="141"/>
      <c r="O203" s="121"/>
      <c r="P203" s="127"/>
      <c r="Q203" s="253" t="str">
        <f>E203</f>
        <v>sats feriepenger</v>
      </c>
      <c r="R203" s="506" t="str">
        <f>F203</f>
        <v>Velg fra liste….</v>
      </c>
      <c r="S203" s="253" t="str" cm="1">
        <f t="array" ref="S203">_xlfn.IFS(F203="",$R$8,F203=Innstillinger!$B$8,$R$8,TRUE,"")</f>
        <v xml:space="preserve">*obligatorisk </v>
      </c>
      <c r="T203" s="253" t="s">
        <v>87</v>
      </c>
      <c r="U203" s="210"/>
    </row>
    <row r="204" spans="1:21" ht="16.5" thickTop="1" thickBot="1" x14ac:dyDescent="0.3">
      <c r="A204" s="121"/>
      <c r="B204" s="141"/>
      <c r="C204" s="163"/>
      <c r="D204" s="247"/>
      <c r="E204" s="373" t="s">
        <v>116</v>
      </c>
      <c r="F204" s="648">
        <v>0.11</v>
      </c>
      <c r="G204" s="374" t="s">
        <v>90</v>
      </c>
      <c r="H204" s="573"/>
      <c r="I204" s="237"/>
      <c r="J204" s="362"/>
      <c r="K204" s="423"/>
      <c r="L204" s="423"/>
      <c r="M204" s="381"/>
      <c r="N204" s="141"/>
      <c r="O204" s="121"/>
      <c r="P204" s="127"/>
      <c r="Q204" s="253" t="s">
        <v>116</v>
      </c>
      <c r="R204" s="422">
        <f>F204+F205</f>
        <v>0.09</v>
      </c>
      <c r="S204" s="253"/>
      <c r="T204" s="379" t="s">
        <v>87</v>
      </c>
      <c r="U204" s="210" t="s">
        <v>87</v>
      </c>
    </row>
    <row r="205" spans="1:21" ht="16.5" thickTop="1" thickBot="1" x14ac:dyDescent="0.3">
      <c r="A205" s="121"/>
      <c r="B205" s="141"/>
      <c r="C205" s="163"/>
      <c r="D205" s="247"/>
      <c r="E205" s="413" t="s">
        <v>279</v>
      </c>
      <c r="F205" s="649">
        <v>-0.02</v>
      </c>
      <c r="G205" s="374" t="s">
        <v>90</v>
      </c>
      <c r="H205" s="573"/>
      <c r="I205" s="480" t="str">
        <f t="shared" ref="I205:I206" si="27">S205</f>
        <v/>
      </c>
      <c r="J205" s="362"/>
      <c r="K205" s="423"/>
      <c r="L205" s="423"/>
      <c r="M205" s="381"/>
      <c r="N205" s="141"/>
      <c r="O205" s="121"/>
      <c r="P205" s="127"/>
      <c r="Q205" s="253"/>
      <c r="R205" s="422"/>
      <c r="S205" s="253" t="str" cm="1">
        <f t="array" ref="S205">_xlfn.IFS(F205=0%,$R$10,TRUE,"")</f>
        <v/>
      </c>
      <c r="T205" s="379"/>
      <c r="U205" s="210"/>
    </row>
    <row r="206" spans="1:21" ht="15.75" thickTop="1" x14ac:dyDescent="0.25">
      <c r="A206" s="121"/>
      <c r="B206" s="141"/>
      <c r="C206" s="163"/>
      <c r="D206" s="247"/>
      <c r="E206" s="424" t="s">
        <v>117</v>
      </c>
      <c r="F206" s="644" t="s">
        <v>129</v>
      </c>
      <c r="G206" s="374" t="s">
        <v>90</v>
      </c>
      <c r="H206" s="380"/>
      <c r="I206" s="480" t="str">
        <f t="shared" si="27"/>
        <v xml:space="preserve">*obligatorisk </v>
      </c>
      <c r="J206" s="423"/>
      <c r="K206" s="237"/>
      <c r="L206" s="237"/>
      <c r="M206" s="381"/>
      <c r="N206" s="141"/>
      <c r="O206" s="121"/>
      <c r="P206" s="127"/>
      <c r="Q206" s="253" t="str">
        <f>E206</f>
        <v>sats arbeidsgiveravgift</v>
      </c>
      <c r="R206" s="506" t="str">
        <f t="shared" ref="R206" si="28">F206</f>
        <v>Velg fra liste….</v>
      </c>
      <c r="S206" s="253" t="str" cm="1">
        <f t="array" ref="S206">_xlfn.IFS(F206="",$R$8,F206=Innstillinger!$B$8,$R$8,TRUE,"")</f>
        <v xml:space="preserve">*obligatorisk </v>
      </c>
      <c r="T206" s="253"/>
      <c r="U206" s="210"/>
    </row>
    <row r="207" spans="1:21" x14ac:dyDescent="0.25">
      <c r="A207" s="121"/>
      <c r="B207" s="141"/>
      <c r="C207" s="163"/>
      <c r="D207" s="247"/>
      <c r="E207" s="417" t="s">
        <v>118</v>
      </c>
      <c r="F207" s="384"/>
      <c r="G207" s="419"/>
      <c r="H207" s="380"/>
      <c r="I207" s="507"/>
      <c r="J207" s="407"/>
      <c r="K207" s="407"/>
      <c r="L207" s="407"/>
      <c r="M207" s="381"/>
      <c r="N207" s="141"/>
      <c r="O207" s="121"/>
      <c r="P207" s="127"/>
      <c r="Q207" s="508"/>
      <c r="R207" s="509"/>
      <c r="S207" s="508"/>
      <c r="T207" s="508"/>
      <c r="U207" s="210"/>
    </row>
    <row r="208" spans="1:21" x14ac:dyDescent="0.25">
      <c r="A208" s="121"/>
      <c r="B208" s="141"/>
      <c r="C208" s="163"/>
      <c r="D208" s="247"/>
      <c r="E208" s="249"/>
      <c r="F208" s="392"/>
      <c r="G208" s="185"/>
      <c r="H208" s="380"/>
      <c r="I208" s="510"/>
      <c r="J208" s="362"/>
      <c r="K208" s="362"/>
      <c r="L208" s="362"/>
      <c r="M208" s="381"/>
      <c r="N208" s="141"/>
      <c r="O208" s="121"/>
      <c r="P208" s="127"/>
      <c r="Q208" s="426" t="s">
        <v>119</v>
      </c>
      <c r="R208" s="511" t="str" cm="1">
        <f t="array" ref="R208">_xlfn.IFS(ISERROR(R220),"Nei",COUNTIF(I187:I206,$R$8)=0,"JA",TRUE,"NEI")</f>
        <v>Nei</v>
      </c>
      <c r="S208" s="391"/>
      <c r="T208" s="512"/>
      <c r="U208" s="210" t="s">
        <v>87</v>
      </c>
    </row>
    <row r="209" spans="1:21" ht="15.75" thickBot="1" x14ac:dyDescent="0.3">
      <c r="A209" s="121"/>
      <c r="B209" s="141"/>
      <c r="C209" s="163"/>
      <c r="D209" s="247"/>
      <c r="E209" s="373" t="s">
        <v>120</v>
      </c>
      <c r="F209" s="428" t="str">
        <f>IF(R208="nei","",R209)</f>
        <v/>
      </c>
      <c r="G209" s="374"/>
      <c r="H209" s="380"/>
      <c r="I209" s="513" t="str">
        <f t="shared" ref="I209:I210" si="29">S209</f>
        <v/>
      </c>
      <c r="J209" s="430"/>
      <c r="K209" s="430"/>
      <c r="L209" s="430"/>
      <c r="M209" s="381"/>
      <c r="N209" s="141"/>
      <c r="O209" s="121"/>
      <c r="P209" s="127"/>
      <c r="Q209" s="253" t="s">
        <v>43</v>
      </c>
      <c r="R209" s="505" t="e">
        <f>IF(R197=Innstillinger!$B$16,R202*1500/R198/1687.5,R202*1400*100/R198/1687.5/112)</f>
        <v>#DIV/0!</v>
      </c>
      <c r="S209" s="253" t="str" cm="1">
        <f t="array" ref="S209">_xlfn.IFS(AND(I220=TRUE,R208="NEI"),$R$11,I220=TRUE,T209,TRUE,"")</f>
        <v/>
      </c>
      <c r="T209" s="433" t="e" cm="1">
        <f t="array" ref="T209">_xlfn.IFS(R197=Innstillinger!$B$15,"➡️ "&amp;TEXT(R209,"# ##0")&amp;" kr per time  =  "&amp;TEXT(R202,"# ##0")&amp;" kr årslønn x 1400 x 100 ÷  ("&amp;R198&amp;" ramme x 1687,5 x 112)",R197=Innstillinger!$B$16,"➡️ "&amp;TEXT(R209,"# ##0")&amp;" kr per time  =  "&amp;TEXT(R202,"# ##0")&amp;" kr årslønn x 1500 ÷  ("&amp;R198&amp;" ramme x 1687,5)")</f>
        <v>#N/A</v>
      </c>
      <c r="U209" s="210" t="s">
        <v>87</v>
      </c>
    </row>
    <row r="210" spans="1:21" ht="15.75" thickTop="1" x14ac:dyDescent="0.25">
      <c r="A210" s="121"/>
      <c r="B210" s="141"/>
      <c r="C210" s="163"/>
      <c r="D210" s="247"/>
      <c r="E210" s="373" t="s">
        <v>121</v>
      </c>
      <c r="F210" s="434" t="str">
        <f>IF(R208="nei","",R210)</f>
        <v/>
      </c>
      <c r="G210" s="374"/>
      <c r="H210" s="380"/>
      <c r="I210" s="513" t="str">
        <f t="shared" si="29"/>
        <v/>
      </c>
      <c r="J210" s="430"/>
      <c r="K210" s="435"/>
      <c r="L210" s="435"/>
      <c r="M210" s="381"/>
      <c r="N210" s="141"/>
      <c r="O210" s="121"/>
      <c r="P210" s="127"/>
      <c r="Q210" s="253" t="s">
        <v>121</v>
      </c>
      <c r="R210" s="505" t="e">
        <f>(R209*(1+R203+R204+(R203*R204))*(1+R206))</f>
        <v>#DIV/0!</v>
      </c>
      <c r="S210" s="253" t="str" cm="1">
        <f t="array" ref="S210">_xlfn.IFS(AND(I220=TRUE,R208="NEI"),$R$11,I220=TRUE,T210,TRUE,"")</f>
        <v/>
      </c>
      <c r="T210" s="433" t="e">
        <f>"➡️ "&amp;TEXT(R210,"# ##0")&amp;" kr =  "&amp;TEXT(R209,"# ##0,00")&amp;" kr timelønn, uten sosiale utgifter x  sosiale utgifter"</f>
        <v>#DIV/0!</v>
      </c>
      <c r="U210" s="210" t="s">
        <v>87</v>
      </c>
    </row>
    <row r="211" spans="1:21" x14ac:dyDescent="0.25">
      <c r="A211" s="121"/>
      <c r="B211" s="141"/>
      <c r="C211" s="163"/>
      <c r="D211" s="256"/>
      <c r="E211" s="398"/>
      <c r="F211" s="398"/>
      <c r="G211" s="399"/>
      <c r="H211" s="400"/>
      <c r="I211" s="507"/>
      <c r="J211" s="362"/>
      <c r="K211" s="423"/>
      <c r="L211" s="423"/>
      <c r="M211" s="381"/>
      <c r="N211" s="141"/>
      <c r="O211" s="121"/>
      <c r="P211" s="127"/>
      <c r="Q211" s="508"/>
      <c r="R211" s="509"/>
      <c r="S211" s="508"/>
      <c r="T211" s="508"/>
      <c r="U211" s="210" t="s">
        <v>87</v>
      </c>
    </row>
    <row r="212" spans="1:21" x14ac:dyDescent="0.25">
      <c r="A212" s="121"/>
      <c r="B212" s="141"/>
      <c r="C212" s="163"/>
      <c r="D212" s="164"/>
      <c r="E212" s="382"/>
      <c r="F212" s="382"/>
      <c r="G212" s="401"/>
      <c r="H212" s="382"/>
      <c r="I212" s="507"/>
      <c r="J212" s="362"/>
      <c r="K212" s="362"/>
      <c r="L212" s="362"/>
      <c r="M212" s="381"/>
      <c r="N212" s="141"/>
      <c r="O212" s="121"/>
      <c r="P212" s="127"/>
      <c r="Q212" s="402"/>
      <c r="R212" s="484"/>
      <c r="S212" s="402"/>
      <c r="T212" s="402"/>
      <c r="U212" s="210" t="s">
        <v>87</v>
      </c>
    </row>
    <row r="213" spans="1:21" ht="21" x14ac:dyDescent="0.35">
      <c r="A213" s="343"/>
      <c r="B213" s="344"/>
      <c r="C213" s="345"/>
      <c r="D213" s="477" t="s">
        <v>10</v>
      </c>
      <c r="E213" s="478"/>
      <c r="F213" s="478"/>
      <c r="G213" s="478"/>
      <c r="H213" s="361"/>
      <c r="I213" s="514"/>
      <c r="J213" s="352"/>
      <c r="K213" s="352"/>
      <c r="L213" s="352"/>
      <c r="M213" s="490"/>
      <c r="N213" s="344"/>
      <c r="O213" s="343"/>
      <c r="P213" s="352"/>
      <c r="Q213" s="402"/>
      <c r="R213" s="484"/>
      <c r="S213" s="402"/>
      <c r="T213" s="402"/>
      <c r="U213" s="210" t="s">
        <v>87</v>
      </c>
    </row>
    <row r="214" spans="1:21" ht="8.1" customHeight="1" x14ac:dyDescent="0.25">
      <c r="A214" s="121"/>
      <c r="B214" s="158"/>
      <c r="C214" s="366"/>
      <c r="D214" s="404"/>
      <c r="E214" s="405"/>
      <c r="F214" s="219"/>
      <c r="G214" s="219"/>
      <c r="H214" s="369"/>
      <c r="I214" s="515"/>
      <c r="J214" s="219"/>
      <c r="K214" s="219"/>
      <c r="L214" s="219"/>
      <c r="M214" s="371"/>
      <c r="N214" s="158"/>
      <c r="O214" s="121"/>
      <c r="P214" s="219"/>
      <c r="Q214" s="402"/>
      <c r="R214" s="484"/>
      <c r="S214" s="402"/>
      <c r="T214" s="402"/>
      <c r="U214" s="210" t="s">
        <v>87</v>
      </c>
    </row>
    <row r="215" spans="1:21" ht="15.75" thickBot="1" x14ac:dyDescent="0.3">
      <c r="A215" s="121"/>
      <c r="B215" s="141"/>
      <c r="C215" s="163"/>
      <c r="D215" s="247"/>
      <c r="E215" s="382" t="s">
        <v>122</v>
      </c>
      <c r="F215" s="516" t="str">
        <f>IF(R208="nei","",R215)</f>
        <v/>
      </c>
      <c r="G215" s="438"/>
      <c r="H215" s="380"/>
      <c r="I215" s="513" t="str">
        <f t="shared" ref="I215:I218" si="30">S215</f>
        <v/>
      </c>
      <c r="J215" s="439"/>
      <c r="K215" s="439"/>
      <c r="L215" s="439"/>
      <c r="M215" s="381"/>
      <c r="N215" s="141"/>
      <c r="O215" s="121"/>
      <c r="P215" s="440"/>
      <c r="Q215" s="253" t="s">
        <v>122</v>
      </c>
      <c r="R215" s="497" t="e">
        <f>R191*R209</f>
        <v>#DIV/0!</v>
      </c>
      <c r="S215" s="253" t="str" cm="1">
        <f t="array" ref="S215">_xlfn.IFS(AND(I220=TRUE,R208="NEI"),$R$11,I220=TRUE,T215,TRUE,"")</f>
        <v/>
      </c>
      <c r="T215" s="433" t="str">
        <f>"➡️ "&amp;TEXT(F215,"# ##0")&amp;" kr  =   "&amp;F191&amp;" total arbeidstimer  x  "&amp;TEXT(F209,"#,##")&amp;" kroner per time"</f>
        <v>➡️  kr  =    total arbeidstimer  x   kroner per time</v>
      </c>
      <c r="U215" s="210" t="s">
        <v>87</v>
      </c>
    </row>
    <row r="216" spans="1:21" ht="16.5" thickTop="1" thickBot="1" x14ac:dyDescent="0.3">
      <c r="A216" s="121"/>
      <c r="B216" s="141"/>
      <c r="C216" s="163"/>
      <c r="D216" s="247"/>
      <c r="E216" s="382" t="s">
        <v>33</v>
      </c>
      <c r="F216" s="516" t="str">
        <f>IF(R208="nei","",R216)</f>
        <v/>
      </c>
      <c r="G216" s="438"/>
      <c r="H216" s="380"/>
      <c r="I216" s="513" t="str">
        <f t="shared" si="30"/>
        <v/>
      </c>
      <c r="J216" s="435"/>
      <c r="K216" s="435"/>
      <c r="L216" s="435"/>
      <c r="M216" s="381"/>
      <c r="N216" s="141"/>
      <c r="O216" s="121"/>
      <c r="P216" s="440"/>
      <c r="Q216" s="253" t="s">
        <v>33</v>
      </c>
      <c r="R216" s="505" t="e">
        <f>R215*R203</f>
        <v>#DIV/0!</v>
      </c>
      <c r="S216" s="253" t="str" cm="1">
        <f t="array" ref="S216">_xlfn.IFS(AND(I220=TRUE,R208="NEI"),$R$11,I220=TRUE,T216,TRUE,"")</f>
        <v/>
      </c>
      <c r="T216" s="433" t="str">
        <f>"➡️ "&amp;TEXT(F216,"# ##0")&amp;" kr = "&amp;TEXT(F215,"# ##0")&amp;" kr lønn  x  "&amp;TEXT(F203,"#,0 %")&amp;" feriepenger sats"</f>
        <v>➡️  kr =  kr lønn  x  Velg fra liste…. feriepenger sats</v>
      </c>
      <c r="U216" s="210" t="s">
        <v>87</v>
      </c>
    </row>
    <row r="217" spans="1:21" ht="16.5" thickTop="1" thickBot="1" x14ac:dyDescent="0.3">
      <c r="A217" s="121"/>
      <c r="B217" s="141"/>
      <c r="C217" s="163"/>
      <c r="D217" s="247"/>
      <c r="E217" s="382" t="s">
        <v>124</v>
      </c>
      <c r="F217" s="516" t="str">
        <f>IF(R208="nei","",R217)</f>
        <v/>
      </c>
      <c r="G217" s="438"/>
      <c r="H217" s="380"/>
      <c r="I217" s="513" t="str">
        <f t="shared" si="30"/>
        <v/>
      </c>
      <c r="J217" s="435"/>
      <c r="K217" s="435"/>
      <c r="L217" s="435"/>
      <c r="M217" s="381"/>
      <c r="N217" s="141"/>
      <c r="O217" s="121"/>
      <c r="P217" s="440"/>
      <c r="Q217" s="253" t="s">
        <v>124</v>
      </c>
      <c r="R217" s="505" t="e">
        <f>SUM(R215:R216)*R204</f>
        <v>#DIV/0!</v>
      </c>
      <c r="S217" s="253" t="str" cm="1">
        <f t="array" ref="S217">_xlfn.IFS(AND(I220=TRUE,R208="NEI"),$R$11,I220=TRUE,T217,TRUE,"")</f>
        <v/>
      </c>
      <c r="T217" s="433" t="str">
        <f>"➡️ "&amp;TEXT(F217,"# ##0")&amp;" kr  = ("&amp;TEXT(F215,"# ##0")&amp;" kr lønn + "&amp;TEXT(F216,"# ##0")&amp;" kr feriepenger) x "&amp;TEXT(F204,"#,0 %")&amp;" pensjon"</f>
        <v>➡️  kr  = ( kr lønn +  kr feriepenger) x 11,0 % pensjon</v>
      </c>
      <c r="U217" s="210" t="s">
        <v>87</v>
      </c>
    </row>
    <row r="218" spans="1:21" ht="16.5" customHeight="1" thickTop="1" thickBot="1" x14ac:dyDescent="0.3">
      <c r="A218" s="121"/>
      <c r="B218" s="141"/>
      <c r="C218" s="163"/>
      <c r="D218" s="247"/>
      <c r="E218" s="382" t="s">
        <v>22</v>
      </c>
      <c r="F218" s="516" t="str">
        <f>IF(R208="nei","",R218)</f>
        <v/>
      </c>
      <c r="G218" s="438"/>
      <c r="H218" s="380"/>
      <c r="I218" s="513" t="str">
        <f t="shared" si="30"/>
        <v/>
      </c>
      <c r="J218" s="435"/>
      <c r="K218" s="435"/>
      <c r="L218" s="435"/>
      <c r="M218" s="381"/>
      <c r="N218" s="141"/>
      <c r="O218" s="121"/>
      <c r="P218" s="440"/>
      <c r="Q218" s="253" t="s">
        <v>22</v>
      </c>
      <c r="R218" s="505" t="e">
        <f>SUM(R215:R217)*R206</f>
        <v>#DIV/0!</v>
      </c>
      <c r="S218" s="253" t="str" cm="1">
        <f t="array" ref="S218">_xlfn.IFS(AND(I220=TRUE,R208="NEI"),$R$11,I220=TRUE,T218,TRUE,"")</f>
        <v/>
      </c>
      <c r="T218" s="433" t="str">
        <f>"➡️ "&amp;TEXT(F218,"# ##0")&amp;" kr = ("&amp;TEXT(F215,"# ##0")&amp;" kr + "&amp;TEXT(F216,"# ##0")&amp;" kr f.p. + "&amp;TEXT(F217,"# ##0")&amp;" kr pensjon)  x  "&amp;TEXT(F206,"#,0 %")&amp;" aga "</f>
        <v xml:space="preserve">➡️  kr = ( kr +  kr f.p. +  kr pensjon)  x  Velg fra liste…. aga </v>
      </c>
      <c r="U218" s="210" t="s">
        <v>87</v>
      </c>
    </row>
    <row r="219" spans="1:21" ht="6" customHeight="1" thickTop="1" x14ac:dyDescent="0.25">
      <c r="A219" s="121"/>
      <c r="B219" s="141"/>
      <c r="C219" s="163"/>
      <c r="D219" s="247"/>
      <c r="E219" s="208"/>
      <c r="F219" s="236"/>
      <c r="G219" s="438"/>
      <c r="H219" s="517"/>
      <c r="I219" s="518"/>
      <c r="J219" s="435"/>
      <c r="K219" s="435"/>
      <c r="L219" s="435"/>
      <c r="M219" s="381"/>
      <c r="N219" s="141"/>
      <c r="O219" s="121"/>
      <c r="P219" s="127"/>
      <c r="Q219" s="402"/>
      <c r="R219" s="484"/>
      <c r="S219" s="402"/>
      <c r="T219" s="402"/>
      <c r="U219" s="210"/>
    </row>
    <row r="220" spans="1:21" ht="18.75" customHeight="1" x14ac:dyDescent="0.3">
      <c r="A220" s="121"/>
      <c r="B220" s="158"/>
      <c r="C220" s="445"/>
      <c r="D220" s="446"/>
      <c r="E220" s="447" t="s">
        <v>125</v>
      </c>
      <c r="F220" s="285" t="str">
        <f>IF(R208="nei","",R220)</f>
        <v/>
      </c>
      <c r="G220" s="448"/>
      <c r="H220" s="449"/>
      <c r="I220" s="84" t="b">
        <v>0</v>
      </c>
      <c r="J220" s="450" t="s">
        <v>126</v>
      </c>
      <c r="K220" s="127"/>
      <c r="L220" s="127"/>
      <c r="M220" s="371"/>
      <c r="N220" s="158"/>
      <c r="O220" s="121"/>
      <c r="P220" s="578" t="str">
        <f>P184&amp;"c"</f>
        <v>4c</v>
      </c>
      <c r="Q220" s="253" t="s">
        <v>125</v>
      </c>
      <c r="R220" s="505" t="e">
        <f>SUM(R215:R218)</f>
        <v>#DIV/0!</v>
      </c>
      <c r="S220" s="253"/>
      <c r="T220" s="253"/>
      <c r="U220" s="210"/>
    </row>
    <row r="221" spans="1:21" ht="6" customHeight="1" x14ac:dyDescent="0.25">
      <c r="A221" s="121"/>
      <c r="B221" s="141"/>
      <c r="C221" s="163"/>
      <c r="D221" s="256"/>
      <c r="E221" s="257"/>
      <c r="F221" s="288"/>
      <c r="G221" s="442"/>
      <c r="H221" s="443"/>
      <c r="I221" s="519"/>
      <c r="J221" s="435"/>
      <c r="K221" s="435"/>
      <c r="L221" s="435"/>
      <c r="M221" s="381"/>
      <c r="N221" s="141"/>
      <c r="O221" s="121"/>
      <c r="P221" s="127"/>
      <c r="Q221" s="402"/>
      <c r="R221" s="484"/>
      <c r="S221" s="402"/>
      <c r="T221" s="402"/>
      <c r="U221" s="210"/>
    </row>
    <row r="222" spans="1:21" x14ac:dyDescent="0.25">
      <c r="A222" s="121"/>
      <c r="B222" s="141"/>
      <c r="C222" s="163"/>
      <c r="D222" s="164"/>
      <c r="E222" s="208"/>
      <c r="F222" s="236"/>
      <c r="G222" s="438"/>
      <c r="H222" s="451"/>
      <c r="I222" s="519"/>
      <c r="J222" s="435"/>
      <c r="K222" s="435"/>
      <c r="L222" s="435"/>
      <c r="M222" s="381"/>
      <c r="N222" s="141"/>
      <c r="O222" s="121"/>
      <c r="P222" s="127"/>
      <c r="Q222" s="402"/>
      <c r="R222" s="484"/>
      <c r="S222" s="402"/>
      <c r="T222" s="520" t="str" cm="1">
        <f t="array" ref="T222">_xlfn.IFS(ISBLANK(F190),"",R190=0,"Forklar i kommentarfeltet hvorfor dere søker om pedagogisk tiltak uten at PPT har tilrådet.",R191&gt;R190,T223,TRUE,"")</f>
        <v/>
      </c>
      <c r="U222" s="210"/>
    </row>
    <row r="223" spans="1:21" x14ac:dyDescent="0.25">
      <c r="A223" s="121"/>
      <c r="B223" s="141"/>
      <c r="C223" s="163"/>
      <c r="D223" s="452"/>
      <c r="E223" s="81" t="str">
        <f>IF(E224="","Skriv kommentar:","")</f>
        <v>Skriv kommentar:</v>
      </c>
      <c r="F223" s="81"/>
      <c r="G223" s="81"/>
      <c r="H223" s="82"/>
      <c r="I223" s="519"/>
      <c r="J223" s="759" t="str">
        <f>IF(S223&amp;S224&amp;S225="","","⚠️Vi trenger mer informasjon")</f>
        <v/>
      </c>
      <c r="K223" s="760"/>
      <c r="L223" s="423"/>
      <c r="M223" s="381"/>
      <c r="N223" s="141"/>
      <c r="O223" s="121"/>
      <c r="P223" s="127"/>
      <c r="Q223" s="253" t="s">
        <v>140</v>
      </c>
      <c r="R223" s="521"/>
      <c r="S223" s="453" t="str">
        <f>U223&amp;T222</f>
        <v/>
      </c>
      <c r="T223" s="379" t="s">
        <v>141</v>
      </c>
      <c r="U223" s="522" t="str">
        <f>IF(AND(T222&lt;&gt;"",OR(T224&lt;&gt;"",T225&lt;&gt;"")),"1. ","")</f>
        <v/>
      </c>
    </row>
    <row r="224" spans="1:21" x14ac:dyDescent="0.25">
      <c r="A224" s="121"/>
      <c r="B224" s="141"/>
      <c r="C224" s="163"/>
      <c r="D224" s="454"/>
      <c r="E224" s="753"/>
      <c r="F224" s="753"/>
      <c r="G224" s="753"/>
      <c r="H224" s="455"/>
      <c r="I224" s="519"/>
      <c r="J224" s="747" t="str">
        <f>_xlfn.TEXTJOIN(CHAR(10)&amp;CHAR(10),TRUE,S223,S224,S225)</f>
        <v/>
      </c>
      <c r="K224" s="749"/>
      <c r="L224" s="574"/>
      <c r="M224" s="381"/>
      <c r="N224" s="141"/>
      <c r="O224" s="121"/>
      <c r="P224" s="127"/>
      <c r="Q224" s="253" t="s">
        <v>127</v>
      </c>
      <c r="R224" s="521"/>
      <c r="S224" s="453" t="str">
        <f>U224&amp;T224</f>
        <v/>
      </c>
      <c r="T224" s="379" t="str">
        <f>IFERROR(IF(R210&gt;$R$6,$S$6,""),"")</f>
        <v/>
      </c>
      <c r="U224" s="522" t="str" cm="1">
        <f t="array" ref="U224">_xlfn.IFS(T224="","",T222&lt;&gt;"","2. ",T225&lt;&gt;"","1. ",TRUE,"")</f>
        <v/>
      </c>
    </row>
    <row r="225" spans="1:21" x14ac:dyDescent="0.25">
      <c r="A225" s="121"/>
      <c r="B225" s="141"/>
      <c r="C225" s="163"/>
      <c r="D225" s="454"/>
      <c r="E225" s="753"/>
      <c r="F225" s="753"/>
      <c r="G225" s="753"/>
      <c r="H225" s="455"/>
      <c r="I225" s="519"/>
      <c r="J225" s="747"/>
      <c r="K225" s="749"/>
      <c r="L225" s="574"/>
      <c r="M225" s="381"/>
      <c r="N225" s="141"/>
      <c r="O225" s="121"/>
      <c r="P225" s="127"/>
      <c r="Q225" s="253" t="s">
        <v>280</v>
      </c>
      <c r="R225" s="521"/>
      <c r="S225" s="453" t="str">
        <f>U225&amp;T225</f>
        <v/>
      </c>
      <c r="T225" s="379" t="str">
        <f>IF(F205=-2%,"",$S$7)</f>
        <v/>
      </c>
      <c r="U225" s="522" t="str" cm="1">
        <f t="array" ref="U225">_xlfn.IFS(T225="","",AND(T222&lt;&gt;"",T224&lt;&gt;""),"3. ",AND(T222="",T224=""),"",TRUE,"2. ")</f>
        <v/>
      </c>
    </row>
    <row r="226" spans="1:21" x14ac:dyDescent="0.25">
      <c r="A226" s="121"/>
      <c r="B226" s="141"/>
      <c r="C226" s="163"/>
      <c r="D226" s="454"/>
      <c r="E226" s="753"/>
      <c r="F226" s="753"/>
      <c r="G226" s="753"/>
      <c r="H226" s="455"/>
      <c r="I226" s="519"/>
      <c r="J226" s="747"/>
      <c r="K226" s="749"/>
      <c r="L226" s="574"/>
      <c r="M226" s="381"/>
      <c r="N226" s="141"/>
      <c r="O226" s="121"/>
      <c r="P226" s="127"/>
      <c r="Q226" s="210"/>
      <c r="R226" s="210"/>
      <c r="S226" s="210"/>
      <c r="T226" s="210"/>
      <c r="U226" s="210"/>
    </row>
    <row r="227" spans="1:21" x14ac:dyDescent="0.25">
      <c r="A227" s="121"/>
      <c r="B227" s="141"/>
      <c r="C227" s="163"/>
      <c r="D227" s="454"/>
      <c r="E227" s="753"/>
      <c r="F227" s="753"/>
      <c r="G227" s="753"/>
      <c r="H227" s="455"/>
      <c r="I227" s="519"/>
      <c r="J227" s="747"/>
      <c r="K227" s="749"/>
      <c r="L227" s="574"/>
      <c r="M227" s="381"/>
      <c r="N227" s="141"/>
      <c r="O227" s="121"/>
      <c r="P227" s="127"/>
      <c r="Q227" s="210"/>
      <c r="R227" s="210"/>
      <c r="S227" s="210"/>
      <c r="T227" s="210"/>
      <c r="U227" s="210"/>
    </row>
    <row r="228" spans="1:21" x14ac:dyDescent="0.25">
      <c r="A228" s="121"/>
      <c r="B228" s="141"/>
      <c r="C228" s="163"/>
      <c r="D228" s="454"/>
      <c r="E228" s="753"/>
      <c r="F228" s="753"/>
      <c r="G228" s="753"/>
      <c r="H228" s="455"/>
      <c r="I228" s="519"/>
      <c r="J228" s="747"/>
      <c r="K228" s="749"/>
      <c r="L228" s="574"/>
      <c r="M228" s="381"/>
      <c r="N228" s="141"/>
      <c r="O228" s="121"/>
      <c r="P228" s="127"/>
      <c r="Q228" s="210"/>
      <c r="R228" s="210"/>
      <c r="S228" s="210"/>
      <c r="T228" s="210"/>
      <c r="U228" s="210"/>
    </row>
    <row r="229" spans="1:21" x14ac:dyDescent="0.25">
      <c r="A229" s="121"/>
      <c r="B229" s="141"/>
      <c r="C229" s="163"/>
      <c r="D229" s="458"/>
      <c r="E229" s="754"/>
      <c r="F229" s="754"/>
      <c r="G229" s="754"/>
      <c r="H229" s="459"/>
      <c r="I229" s="519"/>
      <c r="J229" s="750"/>
      <c r="K229" s="752"/>
      <c r="L229" s="574"/>
      <c r="M229" s="381"/>
      <c r="N229" s="141"/>
      <c r="O229" s="121"/>
      <c r="P229" s="127"/>
      <c r="Q229" s="210"/>
      <c r="R229" s="210"/>
      <c r="S229" s="210"/>
      <c r="T229" s="210"/>
      <c r="U229" s="210"/>
    </row>
    <row r="230" spans="1:21" ht="8.1" customHeight="1" x14ac:dyDescent="0.25">
      <c r="A230" s="121"/>
      <c r="B230" s="141"/>
      <c r="C230" s="163"/>
      <c r="D230" s="460"/>
      <c r="E230" s="461"/>
      <c r="F230" s="461"/>
      <c r="G230" s="461"/>
      <c r="H230" s="460"/>
      <c r="I230" s="444"/>
      <c r="J230" s="462"/>
      <c r="K230" s="462"/>
      <c r="L230" s="462"/>
      <c r="M230" s="381"/>
      <c r="N230" s="141"/>
      <c r="O230" s="121"/>
      <c r="P230" s="127"/>
      <c r="Q230" s="210"/>
      <c r="R230" s="210"/>
      <c r="S230" s="210"/>
      <c r="T230" s="210"/>
      <c r="U230" s="210"/>
    </row>
    <row r="231" spans="1:21" x14ac:dyDescent="0.25">
      <c r="A231" s="121"/>
      <c r="B231" s="141"/>
      <c r="C231" s="163"/>
      <c r="D231" s="574"/>
      <c r="E231" s="574"/>
      <c r="F231" s="574"/>
      <c r="G231" s="574"/>
      <c r="H231" s="574"/>
      <c r="I231" s="444"/>
      <c r="J231" s="462"/>
      <c r="K231" s="462"/>
      <c r="L231" s="462"/>
      <c r="M231" s="381"/>
      <c r="N231" s="141"/>
      <c r="O231" s="121"/>
      <c r="P231" s="127"/>
      <c r="Q231" s="210"/>
      <c r="R231" s="210"/>
      <c r="S231" s="210"/>
      <c r="T231" s="210"/>
      <c r="U231" s="210"/>
    </row>
    <row r="232" spans="1:21" x14ac:dyDescent="0.25">
      <c r="A232" s="121"/>
      <c r="B232" s="141"/>
      <c r="C232" s="163"/>
      <c r="D232" s="740" t="s">
        <v>287</v>
      </c>
      <c r="E232" s="741"/>
      <c r="F232" s="741"/>
      <c r="G232" s="741"/>
      <c r="H232" s="741"/>
      <c r="I232" s="737" t="s">
        <v>288</v>
      </c>
      <c r="J232" s="737"/>
      <c r="K232" s="617" t="s">
        <v>289</v>
      </c>
      <c r="L232" s="618"/>
      <c r="M232" s="381"/>
      <c r="N232" s="141"/>
      <c r="O232" s="121"/>
      <c r="P232" s="127"/>
      <c r="Q232" s="210"/>
      <c r="R232" s="210"/>
      <c r="S232" s="210"/>
      <c r="T232" s="210"/>
      <c r="U232" s="210"/>
    </row>
    <row r="233" spans="1:21" ht="38.25" customHeight="1" x14ac:dyDescent="0.25">
      <c r="A233" s="121"/>
      <c r="B233" s="141"/>
      <c r="C233" s="163"/>
      <c r="D233" s="619"/>
      <c r="E233" s="742"/>
      <c r="F233" s="742"/>
      <c r="G233" s="742"/>
      <c r="H233" s="743"/>
      <c r="I233" s="738"/>
      <c r="J233" s="739"/>
      <c r="K233" s="718"/>
      <c r="L233" s="620"/>
      <c r="M233" s="381"/>
      <c r="N233" s="141"/>
      <c r="O233" s="121"/>
      <c r="P233" s="127"/>
      <c r="Q233" s="210"/>
      <c r="R233" s="210"/>
      <c r="S233" s="210"/>
      <c r="T233" s="210"/>
      <c r="U233" s="210"/>
    </row>
    <row r="234" spans="1:21" x14ac:dyDescent="0.25">
      <c r="A234" s="121"/>
      <c r="B234" s="141"/>
      <c r="C234" s="163"/>
      <c r="D234" s="460"/>
      <c r="E234" s="461"/>
      <c r="F234" s="461"/>
      <c r="G234" s="461"/>
      <c r="H234" s="460"/>
      <c r="I234" s="519"/>
      <c r="J234" s="609"/>
      <c r="K234" s="609"/>
      <c r="L234" s="609"/>
      <c r="M234" s="381"/>
      <c r="N234" s="141"/>
      <c r="O234" s="121"/>
      <c r="P234" s="127"/>
      <c r="Q234" s="210"/>
      <c r="R234" s="210"/>
      <c r="S234" s="210"/>
      <c r="T234" s="210"/>
      <c r="U234" s="210"/>
    </row>
    <row r="235" spans="1:21" x14ac:dyDescent="0.25">
      <c r="A235" s="121"/>
      <c r="B235" s="141"/>
      <c r="C235" s="141"/>
      <c r="D235" s="141"/>
      <c r="E235" s="523"/>
      <c r="F235" s="523"/>
      <c r="G235" s="524"/>
      <c r="H235" s="198"/>
      <c r="I235" s="467"/>
      <c r="J235" s="141"/>
      <c r="K235" s="141"/>
      <c r="L235" s="141"/>
      <c r="M235" s="141"/>
      <c r="N235" s="141"/>
      <c r="O235" s="121"/>
      <c r="P235" s="127"/>
      <c r="Q235" s="340"/>
      <c r="R235" s="463"/>
      <c r="S235" s="463"/>
      <c r="T235" s="525"/>
      <c r="U235" s="210"/>
    </row>
    <row r="236" spans="1:21" ht="6" customHeight="1" x14ac:dyDescent="0.25">
      <c r="A236" s="121"/>
      <c r="B236" s="121"/>
      <c r="C236" s="121"/>
      <c r="D236" s="121"/>
      <c r="E236" s="121"/>
      <c r="F236" s="121"/>
      <c r="G236" s="123"/>
      <c r="H236" s="124"/>
      <c r="I236" s="472"/>
      <c r="J236" s="121"/>
      <c r="K236" s="121"/>
      <c r="L236" s="121"/>
      <c r="M236" s="121"/>
      <c r="N236" s="121"/>
      <c r="O236" s="121"/>
      <c r="P236" s="127"/>
      <c r="Q236" s="210"/>
      <c r="R236" s="210"/>
      <c r="S236" s="210"/>
      <c r="T236" s="210"/>
      <c r="U236" s="210"/>
    </row>
    <row r="237" spans="1:21" x14ac:dyDescent="0.25">
      <c r="A237" s="121"/>
      <c r="B237" s="141"/>
      <c r="C237" s="141"/>
      <c r="D237" s="141"/>
      <c r="E237" s="141"/>
      <c r="F237" s="141"/>
      <c r="G237" s="319"/>
      <c r="H237" s="198"/>
      <c r="I237" s="467"/>
      <c r="J237" s="141"/>
      <c r="K237" s="141"/>
      <c r="L237" s="141"/>
      <c r="M237" s="141"/>
      <c r="N237" s="141"/>
      <c r="O237" s="121"/>
      <c r="P237" s="127"/>
      <c r="Q237" s="340"/>
      <c r="R237" s="341"/>
      <c r="S237" s="341"/>
      <c r="T237" s="473"/>
      <c r="U237" s="210"/>
    </row>
    <row r="238" spans="1:21" x14ac:dyDescent="0.25">
      <c r="A238" s="121"/>
      <c r="B238" s="141"/>
      <c r="C238" s="292"/>
      <c r="D238" s="293"/>
      <c r="E238" s="293"/>
      <c r="F238" s="294"/>
      <c r="G238" s="338"/>
      <c r="H238" s="295"/>
      <c r="I238" s="474"/>
      <c r="J238" s="293"/>
      <c r="K238" s="293"/>
      <c r="L238" s="293"/>
      <c r="M238" s="162"/>
      <c r="N238" s="141"/>
      <c r="O238" s="121"/>
      <c r="P238" s="127"/>
      <c r="Q238" s="340" t="s">
        <v>81</v>
      </c>
      <c r="R238" s="210"/>
      <c r="S238" s="210"/>
      <c r="T238" s="210"/>
      <c r="U238" s="210"/>
    </row>
    <row r="239" spans="1:21" ht="21" x14ac:dyDescent="0.25">
      <c r="A239" s="343"/>
      <c r="B239" s="344"/>
      <c r="C239" s="345"/>
      <c r="D239" s="346"/>
      <c r="E239" s="347" t="str">
        <f>"Beregning "&amp;P239</f>
        <v>Beregning 5</v>
      </c>
      <c r="F239" s="346"/>
      <c r="G239" s="346"/>
      <c r="H239" s="349"/>
      <c r="I239" s="475"/>
      <c r="J239" s="476"/>
      <c r="K239" s="346"/>
      <c r="L239" s="346"/>
      <c r="M239" s="351"/>
      <c r="N239" s="344"/>
      <c r="O239" s="343"/>
      <c r="P239" s="352">
        <f>COUNTIF($D$16:D240,"tiltaket")</f>
        <v>5</v>
      </c>
      <c r="Q239" s="353" t="s">
        <v>83</v>
      </c>
      <c r="R239" s="353" t="s">
        <v>84</v>
      </c>
      <c r="S239" s="353" t="s">
        <v>85</v>
      </c>
      <c r="T239" s="353" t="s">
        <v>86</v>
      </c>
      <c r="U239" s="354"/>
    </row>
    <row r="240" spans="1:21" ht="21" x14ac:dyDescent="0.35">
      <c r="A240" s="343"/>
      <c r="B240" s="344"/>
      <c r="C240" s="345"/>
      <c r="D240" s="477" t="s">
        <v>88</v>
      </c>
      <c r="E240" s="478"/>
      <c r="F240" s="478"/>
      <c r="G240" s="478"/>
      <c r="H240" s="361"/>
      <c r="I240" s="349"/>
      <c r="J240" s="352"/>
      <c r="K240" s="346"/>
      <c r="L240" s="346"/>
      <c r="M240" s="351"/>
      <c r="N240" s="344"/>
      <c r="O240" s="343"/>
      <c r="P240" s="363"/>
      <c r="Q240" s="365"/>
      <c r="R240" s="365"/>
      <c r="S240" s="365"/>
      <c r="T240" s="365"/>
      <c r="U240" s="354"/>
    </row>
    <row r="241" spans="1:21" ht="8.1" customHeight="1" x14ac:dyDescent="0.25">
      <c r="A241" s="121"/>
      <c r="B241" s="158"/>
      <c r="C241" s="366"/>
      <c r="D241" s="367"/>
      <c r="E241" s="219"/>
      <c r="F241" s="219"/>
      <c r="G241" s="219"/>
      <c r="H241" s="369"/>
      <c r="I241" s="479"/>
      <c r="J241" s="376"/>
      <c r="K241" s="376"/>
      <c r="L241" s="376"/>
      <c r="M241" s="377"/>
      <c r="N241" s="158"/>
      <c r="O241" s="121"/>
      <c r="P241" s="219"/>
      <c r="Q241" s="402"/>
      <c r="R241" s="402"/>
      <c r="S241" s="402"/>
      <c r="T241" s="402"/>
      <c r="U241" s="354"/>
    </row>
    <row r="242" spans="1:21" ht="15.75" x14ac:dyDescent="0.3">
      <c r="A242" s="121"/>
      <c r="B242" s="141"/>
      <c r="C242" s="163"/>
      <c r="D242" s="247"/>
      <c r="E242" s="373" t="s">
        <v>89</v>
      </c>
      <c r="F242" s="645"/>
      <c r="G242" s="250" t="s">
        <v>90</v>
      </c>
      <c r="H242" s="375"/>
      <c r="I242" s="480" t="str">
        <f>S242</f>
        <v xml:space="preserve">*obligatorisk </v>
      </c>
      <c r="J242" s="481"/>
      <c r="K242" s="376"/>
      <c r="L242" s="376"/>
      <c r="M242" s="377"/>
      <c r="N242" s="158"/>
      <c r="O242" s="121"/>
      <c r="P242" s="575" t="str">
        <f>P239&amp;"a"</f>
        <v>5a</v>
      </c>
      <c r="Q242" s="482" t="str">
        <f>D240</f>
        <v>Tiltaket</v>
      </c>
      <c r="R242" s="483"/>
      <c r="S242" s="482" t="str" cm="1">
        <f t="array" ref="S242">_xlfn.IFS(F242="",$R$8,TRUE,"")</f>
        <v xml:space="preserve">*obligatorisk </v>
      </c>
      <c r="T242" s="482"/>
      <c r="U242" s="210"/>
    </row>
    <row r="243" spans="1:21" ht="6.75" customHeight="1" x14ac:dyDescent="0.25">
      <c r="A243" s="121"/>
      <c r="B243" s="141"/>
      <c r="C243" s="163"/>
      <c r="D243" s="247"/>
      <c r="E243" s="382"/>
      <c r="F243" s="382"/>
      <c r="G243" s="374"/>
      <c r="H243" s="375"/>
      <c r="I243" s="480"/>
      <c r="J243" s="376"/>
      <c r="K243" s="376"/>
      <c r="L243" s="376"/>
      <c r="M243" s="377"/>
      <c r="N243" s="158"/>
      <c r="O243" s="121"/>
      <c r="P243" s="219"/>
      <c r="Q243" s="402"/>
      <c r="R243" s="484"/>
      <c r="S243" s="402"/>
      <c r="T243" s="402"/>
      <c r="U243" s="210"/>
    </row>
    <row r="244" spans="1:21" x14ac:dyDescent="0.25">
      <c r="A244" s="121"/>
      <c r="B244" s="141"/>
      <c r="C244" s="163"/>
      <c r="D244" s="247"/>
      <c r="E244" s="384" t="s">
        <v>92</v>
      </c>
      <c r="F244" s="485"/>
      <c r="G244" s="385"/>
      <c r="H244" s="380"/>
      <c r="I244" s="420"/>
      <c r="J244" s="362"/>
      <c r="K244" s="362"/>
      <c r="L244" s="362"/>
      <c r="M244" s="381"/>
      <c r="N244" s="141"/>
      <c r="O244" s="121"/>
      <c r="P244" s="127"/>
      <c r="Q244" s="402"/>
      <c r="R244" s="484"/>
      <c r="S244" s="402"/>
      <c r="T244" s="402"/>
      <c r="U244" s="210"/>
    </row>
    <row r="245" spans="1:21" ht="15.75" thickBot="1" x14ac:dyDescent="0.3">
      <c r="A245" s="121"/>
      <c r="B245" s="141"/>
      <c r="C245" s="163"/>
      <c r="D245" s="247"/>
      <c r="E245" s="486" t="s">
        <v>133</v>
      </c>
      <c r="F245" s="646"/>
      <c r="G245" s="374" t="s">
        <v>90</v>
      </c>
      <c r="H245" s="380"/>
      <c r="I245" s="480" t="str">
        <f t="shared" ref="I245" si="31">S245</f>
        <v xml:space="preserve">*obligatorisk </v>
      </c>
      <c r="J245" s="362"/>
      <c r="K245" s="388"/>
      <c r="L245" s="388"/>
      <c r="M245" s="381"/>
      <c r="N245" s="141"/>
      <c r="O245" s="121"/>
      <c r="P245" s="487"/>
      <c r="Q245" s="253" t="str">
        <f>E245</f>
        <v>årstimer tilrådt av PPT (à 60 minutter)</v>
      </c>
      <c r="R245" s="488">
        <f>F245</f>
        <v>0</v>
      </c>
      <c r="S245" s="253" t="str" cm="1">
        <f t="array" ref="S245">_xlfn.IFS(F245="",$R$8,F245=0,$R$10,TRUE,"")</f>
        <v xml:space="preserve">*obligatorisk </v>
      </c>
      <c r="T245" s="253" t="s">
        <v>87</v>
      </c>
      <c r="U245" s="210"/>
    </row>
    <row r="246" spans="1:21" ht="15.75" thickTop="1" x14ac:dyDescent="0.25">
      <c r="A246" s="121"/>
      <c r="B246" s="141"/>
      <c r="C246" s="163"/>
      <c r="D246" s="247"/>
      <c r="E246" s="486" t="s">
        <v>134</v>
      </c>
      <c r="F246" s="647"/>
      <c r="G246" s="374" t="s">
        <v>90</v>
      </c>
      <c r="H246" s="380"/>
      <c r="I246" s="480" t="str">
        <f>S246</f>
        <v xml:space="preserve">*obligatorisk </v>
      </c>
      <c r="J246" s="362"/>
      <c r="K246" s="362"/>
      <c r="L246" s="362"/>
      <c r="M246" s="381"/>
      <c r="N246" s="141"/>
      <c r="O246" s="121"/>
      <c r="P246" s="127"/>
      <c r="Q246" s="253" t="str">
        <f>E246</f>
        <v>undervisningstimer i periode totalt</v>
      </c>
      <c r="R246" s="488">
        <f>F246</f>
        <v>0</v>
      </c>
      <c r="S246" s="253" t="str" cm="1">
        <f t="array" ref="S246">_xlfn.IFS(F246="",$R$8,F245=0,"",F246&gt;F245,$R$10,TRUE,"")</f>
        <v xml:space="preserve">*obligatorisk </v>
      </c>
      <c r="T246" s="253" t="s">
        <v>87</v>
      </c>
      <c r="U246" s="210"/>
    </row>
    <row r="247" spans="1:21" ht="8.1" customHeight="1" x14ac:dyDescent="0.25">
      <c r="A247" s="121"/>
      <c r="B247" s="141"/>
      <c r="C247" s="163"/>
      <c r="D247" s="256"/>
      <c r="E247" s="398"/>
      <c r="F247" s="398"/>
      <c r="G247" s="399"/>
      <c r="H247" s="400"/>
      <c r="I247" s="420"/>
      <c r="J247" s="362"/>
      <c r="K247" s="362"/>
      <c r="L247" s="362"/>
      <c r="M247" s="381"/>
      <c r="N247" s="141"/>
      <c r="O247" s="121"/>
      <c r="P247" s="127"/>
      <c r="Q247" s="402"/>
      <c r="R247" s="484"/>
      <c r="S247" s="402"/>
      <c r="T247" s="402"/>
      <c r="U247" s="210"/>
    </row>
    <row r="248" spans="1:21" x14ac:dyDescent="0.25">
      <c r="A248" s="121"/>
      <c r="B248" s="141"/>
      <c r="C248" s="163"/>
      <c r="D248" s="164"/>
      <c r="E248" s="382"/>
      <c r="F248" s="382"/>
      <c r="G248" s="401"/>
      <c r="H248" s="382"/>
      <c r="I248" s="420"/>
      <c r="J248" s="362"/>
      <c r="K248" s="362"/>
      <c r="L248" s="362"/>
      <c r="M248" s="381"/>
      <c r="N248" s="141"/>
      <c r="O248" s="121"/>
      <c r="P248" s="127"/>
      <c r="Q248" s="402"/>
      <c r="R248" s="484"/>
      <c r="S248" s="402"/>
      <c r="T248" s="402"/>
      <c r="U248" s="210"/>
    </row>
    <row r="249" spans="1:21" ht="21" x14ac:dyDescent="0.35">
      <c r="A249" s="343"/>
      <c r="B249" s="344"/>
      <c r="C249" s="345"/>
      <c r="D249" s="477" t="s">
        <v>102</v>
      </c>
      <c r="E249" s="478"/>
      <c r="F249" s="478"/>
      <c r="G249" s="478"/>
      <c r="H249" s="361"/>
      <c r="I249" s="489"/>
      <c r="J249" s="352"/>
      <c r="K249" s="352"/>
      <c r="L249" s="352"/>
      <c r="M249" s="490"/>
      <c r="N249" s="344"/>
      <c r="O249" s="343"/>
      <c r="P249" s="352"/>
      <c r="Q249" s="402"/>
      <c r="R249" s="484"/>
      <c r="S249" s="402"/>
      <c r="T249" s="402"/>
      <c r="U249" s="354"/>
    </row>
    <row r="250" spans="1:21" ht="8.1" customHeight="1" x14ac:dyDescent="0.25">
      <c r="A250" s="121"/>
      <c r="B250" s="158"/>
      <c r="C250" s="366"/>
      <c r="D250" s="404"/>
      <c r="E250" s="405"/>
      <c r="F250" s="219"/>
      <c r="G250" s="219"/>
      <c r="H250" s="369"/>
      <c r="I250" s="479"/>
      <c r="J250" s="219"/>
      <c r="K250" s="219"/>
      <c r="L250" s="219"/>
      <c r="M250" s="371"/>
      <c r="N250" s="158"/>
      <c r="O250" s="121"/>
      <c r="P250" s="219"/>
      <c r="Q250" s="402"/>
      <c r="R250" s="484"/>
      <c r="S250" s="402"/>
      <c r="T250" s="402"/>
      <c r="U250" s="354"/>
    </row>
    <row r="251" spans="1:21" x14ac:dyDescent="0.25">
      <c r="A251" s="121"/>
      <c r="B251" s="141"/>
      <c r="C251" s="163"/>
      <c r="D251" s="247"/>
      <c r="E251" s="373" t="s">
        <v>103</v>
      </c>
      <c r="F251" s="651"/>
      <c r="G251" s="374" t="s">
        <v>90</v>
      </c>
      <c r="H251" s="380"/>
      <c r="I251" s="480" t="str">
        <f t="shared" ref="I251:I253" si="32">S251</f>
        <v xml:space="preserve">*obligatorisk </v>
      </c>
      <c r="J251" s="362"/>
      <c r="K251" s="362"/>
      <c r="L251" s="362"/>
      <c r="M251" s="381"/>
      <c r="N251" s="141"/>
      <c r="O251" s="121"/>
      <c r="P251" s="575" t="str">
        <f>P239&amp;"b"</f>
        <v>5b</v>
      </c>
      <c r="Q251" s="253" t="str">
        <f>E251</f>
        <v>stillingstittel</v>
      </c>
      <c r="R251" s="378"/>
      <c r="S251" s="253" t="str" cm="1">
        <f t="array" ref="S251">_xlfn.IFS(F251="",$R$8,F251=Innstillinger!$B$8,$R$8,TRUE,"")</f>
        <v xml:space="preserve">*obligatorisk </v>
      </c>
      <c r="T251" s="253"/>
      <c r="U251" s="210"/>
    </row>
    <row r="252" spans="1:21" ht="16.5" customHeight="1" thickBot="1" x14ac:dyDescent="0.35">
      <c r="A252" s="121"/>
      <c r="B252" s="141"/>
      <c r="C252" s="491"/>
      <c r="D252" s="492"/>
      <c r="E252" s="373" t="s">
        <v>135</v>
      </c>
      <c r="F252" s="642"/>
      <c r="G252" s="493" t="s">
        <v>90</v>
      </c>
      <c r="H252" s="494"/>
      <c r="I252" s="480" t="str">
        <f t="shared" si="32"/>
        <v xml:space="preserve">*obligatorisk </v>
      </c>
      <c r="J252" s="495"/>
      <c r="K252" s="496"/>
      <c r="L252" s="496"/>
      <c r="M252" s="166"/>
      <c r="N252" s="141"/>
      <c r="O252" s="121"/>
      <c r="P252" s="127"/>
      <c r="Q252" s="253" t="str">
        <f t="shared" ref="Q252:Q254" si="33">E252</f>
        <v>område</v>
      </c>
      <c r="R252" s="497">
        <f>F252</f>
        <v>0</v>
      </c>
      <c r="S252" s="253" t="str" cm="1">
        <f t="array" ref="S252">_xlfn.IFS(F252="",$R$8,F252=Innstillinger!$B$8,$R$8,TRUE,"")</f>
        <v xml:space="preserve">*obligatorisk </v>
      </c>
      <c r="T252" s="253" t="s">
        <v>87</v>
      </c>
      <c r="U252" s="210"/>
    </row>
    <row r="253" spans="1:21" ht="17.25" thickTop="1" thickBot="1" x14ac:dyDescent="0.35">
      <c r="A253" s="121"/>
      <c r="B253" s="141"/>
      <c r="C253" s="491"/>
      <c r="D253" s="492"/>
      <c r="E253" s="373" t="s">
        <v>136</v>
      </c>
      <c r="F253" s="641" t="s">
        <v>129</v>
      </c>
      <c r="G253" s="498" t="s">
        <v>90</v>
      </c>
      <c r="H253" s="494"/>
      <c r="I253" s="480" t="str">
        <f t="shared" si="32"/>
        <v xml:space="preserve">*obligatorisk </v>
      </c>
      <c r="J253" s="499"/>
      <c r="K253" s="496"/>
      <c r="L253" s="496"/>
      <c r="M253" s="166"/>
      <c r="N253" s="141"/>
      <c r="O253" s="121"/>
      <c r="P253" s="127"/>
      <c r="Q253" s="253" t="str">
        <f t="shared" si="33"/>
        <v>årsramme (à 60 minutter)</v>
      </c>
      <c r="R253" s="497">
        <f>IF(F253=Innstillinger!$B$25,F254,_xlfn.XLOOKUP(F253,Innstillinger!$B$20:$B$24,Innstillinger!$C$20:$C$24,0))</f>
        <v>0</v>
      </c>
      <c r="S253" s="253" t="str" cm="1">
        <f t="array" ref="S253">_xlfn.IFS(F253="",$R$8,F253=Innstillinger!$B$8,$R$8,TRUE,"")</f>
        <v xml:space="preserve">*obligatorisk </v>
      </c>
      <c r="T253" s="253" t="s">
        <v>87</v>
      </c>
      <c r="U253" s="210"/>
    </row>
    <row r="254" spans="1:21" ht="17.25" customHeight="1" thickTop="1" x14ac:dyDescent="0.3">
      <c r="A254" s="121"/>
      <c r="B254" s="141"/>
      <c r="C254" s="491"/>
      <c r="D254" s="492"/>
      <c r="E254" s="500" t="s">
        <v>137</v>
      </c>
      <c r="F254" s="83"/>
      <c r="G254" s="501"/>
      <c r="H254" s="494"/>
      <c r="I254" s="480" t="str">
        <f>S254</f>
        <v/>
      </c>
      <c r="J254" s="502"/>
      <c r="K254" s="496"/>
      <c r="L254" s="496"/>
      <c r="M254" s="166"/>
      <c r="N254" s="141"/>
      <c r="O254" s="121"/>
      <c r="P254" s="127"/>
      <c r="Q254" s="253" t="str">
        <f t="shared" si="33"/>
        <v>Finn riktig årsramme her</v>
      </c>
      <c r="R254" s="378"/>
      <c r="S254" s="253" t="str" cm="1">
        <f t="array" ref="S254">_xlfn.IFS(AND(F254="",F253=Innstillinger!$B$25),$R$8&amp;"; "&amp;T254,TRUE,"")</f>
        <v/>
      </c>
      <c r="T254" s="253" t="s">
        <v>138</v>
      </c>
      <c r="U254" s="210" t="s">
        <v>87</v>
      </c>
    </row>
    <row r="255" spans="1:21" ht="8.1" customHeight="1" x14ac:dyDescent="0.25">
      <c r="A255" s="121"/>
      <c r="B255" s="158"/>
      <c r="C255" s="366"/>
      <c r="D255" s="404"/>
      <c r="E255" s="405"/>
      <c r="F255" s="219"/>
      <c r="G255" s="219"/>
      <c r="H255" s="369"/>
      <c r="I255" s="479"/>
      <c r="J255" s="219"/>
      <c r="K255" s="219"/>
      <c r="L255" s="219"/>
      <c r="M255" s="371"/>
      <c r="N255" s="158"/>
      <c r="O255" s="121"/>
      <c r="P255" s="219"/>
      <c r="Q255" s="402"/>
      <c r="R255" s="484"/>
      <c r="S255" s="402"/>
      <c r="T255" s="402"/>
      <c r="U255" s="210"/>
    </row>
    <row r="256" spans="1:21" x14ac:dyDescent="0.25">
      <c r="A256" s="121"/>
      <c r="B256" s="141"/>
      <c r="C256" s="163"/>
      <c r="D256" s="247"/>
      <c r="E256" s="384" t="s">
        <v>139</v>
      </c>
      <c r="F256" s="409"/>
      <c r="G256" s="374"/>
      <c r="H256" s="380"/>
      <c r="I256" s="420"/>
      <c r="J256" s="362"/>
      <c r="K256" s="362"/>
      <c r="L256" s="362"/>
      <c r="M256" s="381"/>
      <c r="N256" s="141"/>
      <c r="O256" s="121"/>
      <c r="P256" s="127"/>
      <c r="Q256" s="402"/>
      <c r="R256" s="484"/>
      <c r="S256" s="402"/>
      <c r="T256" s="402"/>
      <c r="U256" s="210"/>
    </row>
    <row r="257" spans="1:21" ht="15.75" thickBot="1" x14ac:dyDescent="0.3">
      <c r="A257" s="121"/>
      <c r="B257" s="141"/>
      <c r="C257" s="163"/>
      <c r="D257" s="247"/>
      <c r="E257" s="373" t="s">
        <v>108</v>
      </c>
      <c r="F257" s="650"/>
      <c r="G257" s="503" t="s">
        <v>90</v>
      </c>
      <c r="H257" s="504"/>
      <c r="I257" s="480" t="str">
        <f>S257</f>
        <v xml:space="preserve">*obligatorisk </v>
      </c>
      <c r="J257" s="362"/>
      <c r="K257" s="386"/>
      <c r="L257" s="386"/>
      <c r="M257" s="381"/>
      <c r="N257" s="141"/>
      <c r="O257" s="121"/>
      <c r="P257" s="127"/>
      <c r="Q257" s="253" t="str">
        <f>E257</f>
        <v>årslønn for full stilling</v>
      </c>
      <c r="R257" s="505">
        <f>F257</f>
        <v>0</v>
      </c>
      <c r="S257" s="253" t="str" cm="1">
        <f t="array" ref="S257">_xlfn.IFS(R257=0,$R$8,ISERROR(R265)=TRUE,"",R265&gt;$R$6,$R$10,TRUE,"")</f>
        <v xml:space="preserve">*obligatorisk </v>
      </c>
      <c r="T257" s="253" t="s">
        <v>87</v>
      </c>
      <c r="U257" s="210"/>
    </row>
    <row r="258" spans="1:21" ht="16.5" thickTop="1" thickBot="1" x14ac:dyDescent="0.3">
      <c r="A258" s="121"/>
      <c r="B258" s="141"/>
      <c r="C258" s="163"/>
      <c r="D258" s="247"/>
      <c r="E258" s="373" t="s">
        <v>115</v>
      </c>
      <c r="F258" s="643" t="s">
        <v>129</v>
      </c>
      <c r="G258" s="374" t="s">
        <v>90</v>
      </c>
      <c r="H258" s="380"/>
      <c r="I258" s="480" t="str">
        <f t="shared" ref="I258" si="34">S258</f>
        <v xml:space="preserve">*obligatorisk </v>
      </c>
      <c r="J258" s="421"/>
      <c r="K258" s="421"/>
      <c r="L258" s="421"/>
      <c r="M258" s="381"/>
      <c r="N258" s="141"/>
      <c r="O258" s="121"/>
      <c r="P258" s="127"/>
      <c r="Q258" s="253" t="str">
        <f>E258</f>
        <v>sats feriepenger</v>
      </c>
      <c r="R258" s="506" t="str">
        <f>F258</f>
        <v>Velg fra liste….</v>
      </c>
      <c r="S258" s="253" t="str" cm="1">
        <f t="array" ref="S258">_xlfn.IFS(F258="",$R$8,F258=Innstillinger!$B$8,$R$8,TRUE,"")</f>
        <v xml:space="preserve">*obligatorisk </v>
      </c>
      <c r="T258" s="253" t="s">
        <v>87</v>
      </c>
      <c r="U258" s="210"/>
    </row>
    <row r="259" spans="1:21" ht="16.5" thickTop="1" thickBot="1" x14ac:dyDescent="0.3">
      <c r="A259" s="121"/>
      <c r="B259" s="141"/>
      <c r="C259" s="163"/>
      <c r="D259" s="247"/>
      <c r="E259" s="373" t="s">
        <v>116</v>
      </c>
      <c r="F259" s="648">
        <v>0.11</v>
      </c>
      <c r="G259" s="374" t="s">
        <v>90</v>
      </c>
      <c r="H259" s="573"/>
      <c r="I259" s="237"/>
      <c r="J259" s="362"/>
      <c r="K259" s="423"/>
      <c r="L259" s="423"/>
      <c r="M259" s="381"/>
      <c r="N259" s="141"/>
      <c r="O259" s="121"/>
      <c r="P259" s="127"/>
      <c r="Q259" s="253" t="s">
        <v>116</v>
      </c>
      <c r="R259" s="422">
        <f>F259+F260</f>
        <v>0.09</v>
      </c>
      <c r="S259" s="253"/>
      <c r="T259" s="379" t="s">
        <v>87</v>
      </c>
      <c r="U259" s="210" t="s">
        <v>87</v>
      </c>
    </row>
    <row r="260" spans="1:21" ht="16.5" thickTop="1" thickBot="1" x14ac:dyDescent="0.3">
      <c r="A260" s="121"/>
      <c r="B260" s="141"/>
      <c r="C260" s="163"/>
      <c r="D260" s="247"/>
      <c r="E260" s="413" t="s">
        <v>279</v>
      </c>
      <c r="F260" s="649">
        <v>-0.02</v>
      </c>
      <c r="G260" s="374" t="s">
        <v>90</v>
      </c>
      <c r="H260" s="573"/>
      <c r="I260" s="480" t="str">
        <f t="shared" ref="I260:I261" si="35">S260</f>
        <v/>
      </c>
      <c r="J260" s="362"/>
      <c r="K260" s="423"/>
      <c r="L260" s="423"/>
      <c r="M260" s="381"/>
      <c r="N260" s="141"/>
      <c r="O260" s="121"/>
      <c r="P260" s="127"/>
      <c r="Q260" s="253"/>
      <c r="R260" s="422"/>
      <c r="S260" s="253" t="str" cm="1">
        <f t="array" ref="S260">_xlfn.IFS(F260=0%,$R$10,TRUE,"")</f>
        <v/>
      </c>
      <c r="T260" s="379"/>
      <c r="U260" s="210"/>
    </row>
    <row r="261" spans="1:21" ht="15.75" thickTop="1" x14ac:dyDescent="0.25">
      <c r="A261" s="121"/>
      <c r="B261" s="141"/>
      <c r="C261" s="163"/>
      <c r="D261" s="247"/>
      <c r="E261" s="424" t="s">
        <v>117</v>
      </c>
      <c r="F261" s="644" t="s">
        <v>129</v>
      </c>
      <c r="G261" s="374" t="s">
        <v>90</v>
      </c>
      <c r="H261" s="380"/>
      <c r="I261" s="480" t="str">
        <f t="shared" si="35"/>
        <v xml:space="preserve">*obligatorisk </v>
      </c>
      <c r="J261" s="423"/>
      <c r="K261" s="237"/>
      <c r="L261" s="237"/>
      <c r="M261" s="381"/>
      <c r="N261" s="141"/>
      <c r="O261" s="121"/>
      <c r="P261" s="127"/>
      <c r="Q261" s="253" t="str">
        <f>E261</f>
        <v>sats arbeidsgiveravgift</v>
      </c>
      <c r="R261" s="506" t="str">
        <f t="shared" ref="R261" si="36">F261</f>
        <v>Velg fra liste….</v>
      </c>
      <c r="S261" s="253" t="str" cm="1">
        <f t="array" ref="S261">_xlfn.IFS(F261="",$R$8,F261=Innstillinger!$B$8,$R$8,TRUE,"")</f>
        <v xml:space="preserve">*obligatorisk </v>
      </c>
      <c r="T261" s="253"/>
      <c r="U261" s="210"/>
    </row>
    <row r="262" spans="1:21" x14ac:dyDescent="0.25">
      <c r="A262" s="121"/>
      <c r="B262" s="141"/>
      <c r="C262" s="163"/>
      <c r="D262" s="247"/>
      <c r="E262" s="417" t="s">
        <v>118</v>
      </c>
      <c r="F262" s="384"/>
      <c r="G262" s="419"/>
      <c r="H262" s="380"/>
      <c r="I262" s="507"/>
      <c r="J262" s="407"/>
      <c r="K262" s="407"/>
      <c r="L262" s="407"/>
      <c r="M262" s="381"/>
      <c r="N262" s="141"/>
      <c r="O262" s="121"/>
      <c r="P262" s="127"/>
      <c r="Q262" s="508"/>
      <c r="R262" s="509"/>
      <c r="S262" s="508"/>
      <c r="T262" s="508"/>
      <c r="U262" s="210"/>
    </row>
    <row r="263" spans="1:21" x14ac:dyDescent="0.25">
      <c r="A263" s="121"/>
      <c r="B263" s="141"/>
      <c r="C263" s="163"/>
      <c r="D263" s="247"/>
      <c r="E263" s="249"/>
      <c r="F263" s="392"/>
      <c r="G263" s="185"/>
      <c r="H263" s="380"/>
      <c r="I263" s="510"/>
      <c r="J263" s="362"/>
      <c r="K263" s="362"/>
      <c r="L263" s="362"/>
      <c r="M263" s="381"/>
      <c r="N263" s="141"/>
      <c r="O263" s="121"/>
      <c r="P263" s="127"/>
      <c r="Q263" s="426" t="s">
        <v>119</v>
      </c>
      <c r="R263" s="511" t="str" cm="1">
        <f t="array" ref="R263">_xlfn.IFS(ISERROR(R275),"Nei",COUNTIF(I242:I261,$R$8)=0,"JA",TRUE,"NEI")</f>
        <v>Nei</v>
      </c>
      <c r="S263" s="391"/>
      <c r="T263" s="512"/>
      <c r="U263" s="210" t="s">
        <v>87</v>
      </c>
    </row>
    <row r="264" spans="1:21" ht="15.75" thickBot="1" x14ac:dyDescent="0.3">
      <c r="A264" s="121"/>
      <c r="B264" s="141"/>
      <c r="C264" s="163"/>
      <c r="D264" s="247"/>
      <c r="E264" s="373" t="s">
        <v>120</v>
      </c>
      <c r="F264" s="428" t="str">
        <f>IF(R263="nei","",R264)</f>
        <v/>
      </c>
      <c r="G264" s="374"/>
      <c r="H264" s="380"/>
      <c r="I264" s="513" t="str">
        <f t="shared" ref="I264:I265" si="37">S264</f>
        <v/>
      </c>
      <c r="J264" s="430"/>
      <c r="K264" s="430"/>
      <c r="L264" s="430"/>
      <c r="M264" s="381"/>
      <c r="N264" s="141"/>
      <c r="O264" s="121"/>
      <c r="P264" s="127"/>
      <c r="Q264" s="253" t="s">
        <v>43</v>
      </c>
      <c r="R264" s="505" t="e">
        <f>IF(R252=Innstillinger!$B$16,R257*1500/R253/1687.5,R257*1400*100/R253/1687.5/112)</f>
        <v>#DIV/0!</v>
      </c>
      <c r="S264" s="253" t="str" cm="1">
        <f t="array" ref="S264">_xlfn.IFS(AND(I275=TRUE,R263="NEI"),$R$11,I275=TRUE,T264,TRUE,"")</f>
        <v/>
      </c>
      <c r="T264" s="433" t="e" cm="1">
        <f t="array" ref="T264">_xlfn.IFS(R252=Innstillinger!$B$15,"➡️ "&amp;TEXT(R264,"# ##0")&amp;" kr per time  =  "&amp;TEXT(R257,"# ##0")&amp;" kr årslønn x 1400 x 100 ÷  ("&amp;R253&amp;" ramme x 1687,5 x 112)",R252=Innstillinger!$B$16,"➡️ "&amp;TEXT(R264,"# ##0")&amp;" kr per time  =  "&amp;TEXT(R257,"# ##0")&amp;" kr årslønn x 1500 ÷  ("&amp;R253&amp;" ramme x 1687,5)")</f>
        <v>#N/A</v>
      </c>
      <c r="U264" s="210" t="s">
        <v>87</v>
      </c>
    </row>
    <row r="265" spans="1:21" ht="15.75" thickTop="1" x14ac:dyDescent="0.25">
      <c r="A265" s="121"/>
      <c r="B265" s="141"/>
      <c r="C265" s="163"/>
      <c r="D265" s="247"/>
      <c r="E265" s="373" t="s">
        <v>121</v>
      </c>
      <c r="F265" s="434" t="str">
        <f>IF(R263="nei","",R265)</f>
        <v/>
      </c>
      <c r="G265" s="374"/>
      <c r="H265" s="380"/>
      <c r="I265" s="513" t="str">
        <f t="shared" si="37"/>
        <v/>
      </c>
      <c r="J265" s="430"/>
      <c r="K265" s="435"/>
      <c r="L265" s="435"/>
      <c r="M265" s="381"/>
      <c r="N265" s="141"/>
      <c r="O265" s="121"/>
      <c r="P265" s="127"/>
      <c r="Q265" s="253" t="s">
        <v>121</v>
      </c>
      <c r="R265" s="505" t="e">
        <f>(R264*(1+R258+R259+(R258*R259))*(1+R261))</f>
        <v>#DIV/0!</v>
      </c>
      <c r="S265" s="253" t="str" cm="1">
        <f t="array" ref="S265">_xlfn.IFS(AND(I275=TRUE,R263="NEI"),$R$11,I275=TRUE,T265,TRUE,"")</f>
        <v/>
      </c>
      <c r="T265" s="433" t="e">
        <f>"➡️ "&amp;TEXT(R265,"# ##0")&amp;" kr =  "&amp;TEXT(R264,"# ##0,00")&amp;" kr timelønn, uten sosiale utgifter x  sosiale utgifter"</f>
        <v>#DIV/0!</v>
      </c>
      <c r="U265" s="210" t="s">
        <v>87</v>
      </c>
    </row>
    <row r="266" spans="1:21" x14ac:dyDescent="0.25">
      <c r="A266" s="121"/>
      <c r="B266" s="141"/>
      <c r="C266" s="163"/>
      <c r="D266" s="256"/>
      <c r="E266" s="398"/>
      <c r="F266" s="398"/>
      <c r="G266" s="399"/>
      <c r="H266" s="400"/>
      <c r="I266" s="507"/>
      <c r="J266" s="362"/>
      <c r="K266" s="423"/>
      <c r="L266" s="423"/>
      <c r="M266" s="381"/>
      <c r="N266" s="141"/>
      <c r="O266" s="121"/>
      <c r="P266" s="127"/>
      <c r="Q266" s="508"/>
      <c r="R266" s="509"/>
      <c r="S266" s="508"/>
      <c r="T266" s="508"/>
      <c r="U266" s="210" t="s">
        <v>87</v>
      </c>
    </row>
    <row r="267" spans="1:21" x14ac:dyDescent="0.25">
      <c r="A267" s="121"/>
      <c r="B267" s="141"/>
      <c r="C267" s="163"/>
      <c r="D267" s="164"/>
      <c r="E267" s="382"/>
      <c r="F267" s="382"/>
      <c r="G267" s="401"/>
      <c r="H267" s="382"/>
      <c r="I267" s="507"/>
      <c r="J267" s="362"/>
      <c r="K267" s="362"/>
      <c r="L267" s="362"/>
      <c r="M267" s="381"/>
      <c r="N267" s="141"/>
      <c r="O267" s="121"/>
      <c r="P267" s="127"/>
      <c r="Q267" s="402"/>
      <c r="R267" s="484"/>
      <c r="S267" s="402"/>
      <c r="T267" s="402"/>
      <c r="U267" s="210" t="s">
        <v>87</v>
      </c>
    </row>
    <row r="268" spans="1:21" ht="21" x14ac:dyDescent="0.35">
      <c r="A268" s="343"/>
      <c r="B268" s="344"/>
      <c r="C268" s="345"/>
      <c r="D268" s="477" t="s">
        <v>10</v>
      </c>
      <c r="E268" s="478"/>
      <c r="F268" s="478"/>
      <c r="G268" s="478"/>
      <c r="H268" s="361"/>
      <c r="I268" s="514"/>
      <c r="J268" s="352"/>
      <c r="K268" s="352"/>
      <c r="L268" s="352"/>
      <c r="M268" s="490"/>
      <c r="N268" s="344"/>
      <c r="O268" s="343"/>
      <c r="P268" s="352"/>
      <c r="Q268" s="402"/>
      <c r="R268" s="484"/>
      <c r="S268" s="402"/>
      <c r="T268" s="402"/>
      <c r="U268" s="210" t="s">
        <v>87</v>
      </c>
    </row>
    <row r="269" spans="1:21" ht="8.1" customHeight="1" x14ac:dyDescent="0.25">
      <c r="A269" s="121"/>
      <c r="B269" s="158"/>
      <c r="C269" s="366"/>
      <c r="D269" s="404"/>
      <c r="E269" s="405"/>
      <c r="F269" s="219"/>
      <c r="G269" s="219"/>
      <c r="H269" s="369"/>
      <c r="I269" s="515"/>
      <c r="J269" s="219"/>
      <c r="K269" s="219"/>
      <c r="L269" s="219"/>
      <c r="M269" s="371"/>
      <c r="N269" s="158"/>
      <c r="O269" s="121"/>
      <c r="P269" s="219"/>
      <c r="Q269" s="402"/>
      <c r="R269" s="484"/>
      <c r="S269" s="402"/>
      <c r="T269" s="402"/>
      <c r="U269" s="210" t="s">
        <v>87</v>
      </c>
    </row>
    <row r="270" spans="1:21" ht="15.75" thickBot="1" x14ac:dyDescent="0.3">
      <c r="A270" s="121"/>
      <c r="B270" s="141"/>
      <c r="C270" s="163"/>
      <c r="D270" s="247"/>
      <c r="E270" s="382" t="s">
        <v>122</v>
      </c>
      <c r="F270" s="516" t="str">
        <f>IF(R263="nei","",R270)</f>
        <v/>
      </c>
      <c r="G270" s="438"/>
      <c r="H270" s="380"/>
      <c r="I270" s="513" t="str">
        <f t="shared" ref="I270:I273" si="38">S270</f>
        <v/>
      </c>
      <c r="J270" s="439"/>
      <c r="K270" s="439"/>
      <c r="L270" s="439"/>
      <c r="M270" s="381"/>
      <c r="N270" s="141"/>
      <c r="O270" s="121"/>
      <c r="P270" s="440"/>
      <c r="Q270" s="253" t="s">
        <v>122</v>
      </c>
      <c r="R270" s="497" t="e">
        <f>R246*R264</f>
        <v>#DIV/0!</v>
      </c>
      <c r="S270" s="253" t="str" cm="1">
        <f t="array" ref="S270">_xlfn.IFS(AND(I275=TRUE,R263="NEI"),$R$11,I275=TRUE,T270,TRUE,"")</f>
        <v/>
      </c>
      <c r="T270" s="433" t="str">
        <f>"➡️ "&amp;TEXT(F270,"# ##0")&amp;" kr  =   "&amp;F246&amp;" total arbeidstimer  x  "&amp;TEXT(F264,"#,##")&amp;" kroner per time"</f>
        <v>➡️  kr  =    total arbeidstimer  x   kroner per time</v>
      </c>
      <c r="U270" s="210" t="s">
        <v>87</v>
      </c>
    </row>
    <row r="271" spans="1:21" ht="16.5" thickTop="1" thickBot="1" x14ac:dyDescent="0.3">
      <c r="A271" s="121"/>
      <c r="B271" s="141"/>
      <c r="C271" s="163"/>
      <c r="D271" s="247"/>
      <c r="E271" s="382" t="s">
        <v>33</v>
      </c>
      <c r="F271" s="516" t="str">
        <f>IF(R263="nei","",R271)</f>
        <v/>
      </c>
      <c r="G271" s="438"/>
      <c r="H271" s="380"/>
      <c r="I271" s="513" t="str">
        <f t="shared" si="38"/>
        <v/>
      </c>
      <c r="J271" s="435"/>
      <c r="K271" s="435"/>
      <c r="L271" s="435"/>
      <c r="M271" s="381"/>
      <c r="N271" s="141"/>
      <c r="O271" s="121"/>
      <c r="P271" s="440"/>
      <c r="Q271" s="253" t="s">
        <v>33</v>
      </c>
      <c r="R271" s="505" t="e">
        <f>R270*R258</f>
        <v>#DIV/0!</v>
      </c>
      <c r="S271" s="253" t="str" cm="1">
        <f t="array" ref="S271">_xlfn.IFS(AND(I275=TRUE,R263="NEI"),$R$11,I275=TRUE,T271,TRUE,"")</f>
        <v/>
      </c>
      <c r="T271" s="433" t="str">
        <f>"➡️ "&amp;TEXT(F271,"# ##0")&amp;" kr = "&amp;TEXT(F270,"# ##0")&amp;" kr lønn  x  "&amp;TEXT(F258,"#,0 %")&amp;" feriepenger sats"</f>
        <v>➡️  kr =  kr lønn  x  Velg fra liste…. feriepenger sats</v>
      </c>
      <c r="U271" s="210" t="s">
        <v>87</v>
      </c>
    </row>
    <row r="272" spans="1:21" ht="16.5" thickTop="1" thickBot="1" x14ac:dyDescent="0.3">
      <c r="A272" s="121"/>
      <c r="B272" s="141"/>
      <c r="C272" s="163"/>
      <c r="D272" s="247"/>
      <c r="E272" s="382" t="s">
        <v>124</v>
      </c>
      <c r="F272" s="516" t="str">
        <f>IF(R263="nei","",R272)</f>
        <v/>
      </c>
      <c r="G272" s="438"/>
      <c r="H272" s="380"/>
      <c r="I272" s="513" t="str">
        <f t="shared" si="38"/>
        <v/>
      </c>
      <c r="J272" s="435"/>
      <c r="K272" s="435"/>
      <c r="L272" s="435"/>
      <c r="M272" s="381"/>
      <c r="N272" s="141"/>
      <c r="O272" s="121"/>
      <c r="P272" s="440"/>
      <c r="Q272" s="253" t="s">
        <v>124</v>
      </c>
      <c r="R272" s="505" t="e">
        <f>SUM(R270:R271)*R259</f>
        <v>#DIV/0!</v>
      </c>
      <c r="S272" s="253" t="str" cm="1">
        <f t="array" ref="S272">_xlfn.IFS(AND(I275=TRUE,R263="NEI"),$R$11,I275=TRUE,T272,TRUE,"")</f>
        <v/>
      </c>
      <c r="T272" s="433" t="str">
        <f>"➡️ "&amp;TEXT(F272,"# ##0")&amp;" kr  = ("&amp;TEXT(F270,"# ##0")&amp;" kr lønn + "&amp;TEXT(F271,"# ##0")&amp;" kr feriepenger) x "&amp;TEXT(F259,"#,0 %")&amp;" pensjon"</f>
        <v>➡️  kr  = ( kr lønn +  kr feriepenger) x 11,0 % pensjon</v>
      </c>
      <c r="U272" s="210" t="s">
        <v>87</v>
      </c>
    </row>
    <row r="273" spans="1:21" ht="16.5" customHeight="1" thickTop="1" thickBot="1" x14ac:dyDescent="0.3">
      <c r="A273" s="121"/>
      <c r="B273" s="141"/>
      <c r="C273" s="163"/>
      <c r="D273" s="247"/>
      <c r="E273" s="382" t="s">
        <v>22</v>
      </c>
      <c r="F273" s="516" t="str">
        <f>IF(R263="nei","",R273)</f>
        <v/>
      </c>
      <c r="G273" s="438"/>
      <c r="H273" s="380"/>
      <c r="I273" s="513" t="str">
        <f t="shared" si="38"/>
        <v/>
      </c>
      <c r="J273" s="435"/>
      <c r="K273" s="435"/>
      <c r="L273" s="435"/>
      <c r="M273" s="381"/>
      <c r="N273" s="141"/>
      <c r="O273" s="121"/>
      <c r="P273" s="440"/>
      <c r="Q273" s="253" t="s">
        <v>22</v>
      </c>
      <c r="R273" s="505" t="e">
        <f>SUM(R270:R272)*R261</f>
        <v>#DIV/0!</v>
      </c>
      <c r="S273" s="253" t="str" cm="1">
        <f t="array" ref="S273">_xlfn.IFS(AND(I275=TRUE,R263="NEI"),$R$11,I275=TRUE,T273,TRUE,"")</f>
        <v/>
      </c>
      <c r="T273" s="433" t="str">
        <f>"➡️ "&amp;TEXT(F273,"# ##0")&amp;" kr = ("&amp;TEXT(F270,"# ##0")&amp;" kr + "&amp;TEXT(F271,"# ##0")&amp;" kr f.p. + "&amp;TEXT(F272,"# ##0")&amp;" kr pensjon)  x  "&amp;TEXT(F261,"#,0 %")&amp;" aga "</f>
        <v xml:space="preserve">➡️  kr = ( kr +  kr f.p. +  kr pensjon)  x  Velg fra liste…. aga </v>
      </c>
      <c r="U273" s="210" t="s">
        <v>87</v>
      </c>
    </row>
    <row r="274" spans="1:21" ht="6" customHeight="1" thickTop="1" x14ac:dyDescent="0.25">
      <c r="A274" s="121"/>
      <c r="B274" s="141"/>
      <c r="C274" s="163"/>
      <c r="D274" s="247"/>
      <c r="E274" s="208"/>
      <c r="F274" s="236"/>
      <c r="G274" s="438"/>
      <c r="H274" s="517"/>
      <c r="I274" s="518"/>
      <c r="J274" s="435"/>
      <c r="K274" s="435"/>
      <c r="L274" s="435"/>
      <c r="M274" s="381"/>
      <c r="N274" s="141"/>
      <c r="O274" s="121"/>
      <c r="P274" s="127"/>
      <c r="Q274" s="402"/>
      <c r="R274" s="484"/>
      <c r="S274" s="402"/>
      <c r="T274" s="402"/>
      <c r="U274" s="210"/>
    </row>
    <row r="275" spans="1:21" ht="18.75" customHeight="1" x14ac:dyDescent="0.3">
      <c r="A275" s="121"/>
      <c r="B275" s="158"/>
      <c r="C275" s="445"/>
      <c r="D275" s="446"/>
      <c r="E275" s="447" t="s">
        <v>125</v>
      </c>
      <c r="F275" s="285" t="str">
        <f>IF(R263="nei","",R275)</f>
        <v/>
      </c>
      <c r="G275" s="448"/>
      <c r="H275" s="449"/>
      <c r="I275" s="84" t="b">
        <v>0</v>
      </c>
      <c r="J275" s="450" t="s">
        <v>126</v>
      </c>
      <c r="K275" s="127"/>
      <c r="L275" s="127"/>
      <c r="M275" s="371"/>
      <c r="N275" s="158"/>
      <c r="O275" s="121"/>
      <c r="P275" s="578" t="str">
        <f>P239&amp;"c"</f>
        <v>5c</v>
      </c>
      <c r="Q275" s="253" t="s">
        <v>125</v>
      </c>
      <c r="R275" s="505" t="e">
        <f>SUM(R270:R273)</f>
        <v>#DIV/0!</v>
      </c>
      <c r="S275" s="253"/>
      <c r="T275" s="253"/>
      <c r="U275" s="210"/>
    </row>
    <row r="276" spans="1:21" ht="6" customHeight="1" x14ac:dyDescent="0.25">
      <c r="A276" s="121"/>
      <c r="B276" s="141"/>
      <c r="C276" s="163"/>
      <c r="D276" s="256"/>
      <c r="E276" s="257"/>
      <c r="F276" s="288"/>
      <c r="G276" s="442"/>
      <c r="H276" s="443"/>
      <c r="I276" s="519"/>
      <c r="J276" s="435"/>
      <c r="K276" s="435"/>
      <c r="L276" s="435"/>
      <c r="M276" s="381"/>
      <c r="N276" s="141"/>
      <c r="O276" s="121"/>
      <c r="P276" s="127"/>
      <c r="Q276" s="402"/>
      <c r="R276" s="484"/>
      <c r="S276" s="402"/>
      <c r="T276" s="402"/>
      <c r="U276" s="210"/>
    </row>
    <row r="277" spans="1:21" x14ac:dyDescent="0.25">
      <c r="A277" s="121"/>
      <c r="B277" s="141"/>
      <c r="C277" s="163"/>
      <c r="D277" s="164"/>
      <c r="E277" s="208"/>
      <c r="F277" s="236"/>
      <c r="G277" s="438"/>
      <c r="H277" s="451"/>
      <c r="I277" s="519"/>
      <c r="J277" s="435"/>
      <c r="K277" s="435"/>
      <c r="L277" s="435"/>
      <c r="M277" s="381"/>
      <c r="N277" s="141"/>
      <c r="O277" s="121"/>
      <c r="P277" s="127"/>
      <c r="Q277" s="402"/>
      <c r="R277" s="484"/>
      <c r="S277" s="402"/>
      <c r="T277" s="520" t="str" cm="1">
        <f t="array" ref="T277">_xlfn.IFS(ISBLANK(F245),"",R245=0,"Forklar i kommentarfeltet hvorfor dere søker om pedagogisk tiltak uten at PPT har tilrådet.",R246&gt;R245,T278,TRUE,"")</f>
        <v/>
      </c>
      <c r="U277" s="210"/>
    </row>
    <row r="278" spans="1:21" x14ac:dyDescent="0.25">
      <c r="A278" s="121"/>
      <c r="B278" s="141"/>
      <c r="C278" s="163"/>
      <c r="D278" s="452"/>
      <c r="E278" s="81" t="str">
        <f>IF(E279="","Skriv kommentar:","")</f>
        <v>Skriv kommentar:</v>
      </c>
      <c r="F278" s="81"/>
      <c r="G278" s="81"/>
      <c r="H278" s="82"/>
      <c r="I278" s="519"/>
      <c r="J278" s="759" t="str">
        <f>IF(S278&amp;S279&amp;S280="","","⚠️Vi trenger mer informasjon")</f>
        <v/>
      </c>
      <c r="K278" s="760"/>
      <c r="L278" s="423"/>
      <c r="M278" s="381"/>
      <c r="N278" s="141"/>
      <c r="O278" s="121"/>
      <c r="P278" s="127"/>
      <c r="Q278" s="253" t="s">
        <v>140</v>
      </c>
      <c r="R278" s="521"/>
      <c r="S278" s="453" t="str">
        <f>U278&amp;T277</f>
        <v/>
      </c>
      <c r="T278" s="379" t="s">
        <v>141</v>
      </c>
      <c r="U278" s="522" t="str">
        <f>IF(AND(T277&lt;&gt;"",OR(T279&lt;&gt;"",T280&lt;&gt;"")),"1. ","")</f>
        <v/>
      </c>
    </row>
    <row r="279" spans="1:21" x14ac:dyDescent="0.25">
      <c r="A279" s="121"/>
      <c r="B279" s="141"/>
      <c r="C279" s="163"/>
      <c r="D279" s="454"/>
      <c r="E279" s="753"/>
      <c r="F279" s="753"/>
      <c r="G279" s="753"/>
      <c r="H279" s="455"/>
      <c r="I279" s="519"/>
      <c r="J279" s="747" t="str">
        <f>_xlfn.TEXTJOIN(CHAR(10)&amp;CHAR(10),TRUE,S278,S279,S280)</f>
        <v/>
      </c>
      <c r="K279" s="749"/>
      <c r="L279" s="574"/>
      <c r="M279" s="381"/>
      <c r="N279" s="141"/>
      <c r="O279" s="121"/>
      <c r="P279" s="127"/>
      <c r="Q279" s="253" t="s">
        <v>127</v>
      </c>
      <c r="R279" s="521"/>
      <c r="S279" s="453" t="str">
        <f>U279&amp;T279</f>
        <v/>
      </c>
      <c r="T279" s="379" t="str">
        <f>IFERROR(IF(R265&gt;$R$6,$S$6,""),"")</f>
        <v/>
      </c>
      <c r="U279" s="522" t="str" cm="1">
        <f t="array" ref="U279">_xlfn.IFS(T279="","",T277&lt;&gt;"","2. ",T280&lt;&gt;"","1. ",TRUE,"")</f>
        <v/>
      </c>
    </row>
    <row r="280" spans="1:21" x14ac:dyDescent="0.25">
      <c r="A280" s="121"/>
      <c r="B280" s="141"/>
      <c r="C280" s="163"/>
      <c r="D280" s="454"/>
      <c r="E280" s="753"/>
      <c r="F280" s="753"/>
      <c r="G280" s="753"/>
      <c r="H280" s="455"/>
      <c r="I280" s="519"/>
      <c r="J280" s="747"/>
      <c r="K280" s="749"/>
      <c r="L280" s="574"/>
      <c r="M280" s="381"/>
      <c r="N280" s="141"/>
      <c r="O280" s="121"/>
      <c r="P280" s="127"/>
      <c r="Q280" s="253" t="s">
        <v>280</v>
      </c>
      <c r="R280" s="521"/>
      <c r="S280" s="453" t="str">
        <f>U280&amp;T280</f>
        <v/>
      </c>
      <c r="T280" s="379" t="str">
        <f>IF(F260=-2%,"",$S$7)</f>
        <v/>
      </c>
      <c r="U280" s="522" t="str" cm="1">
        <f t="array" ref="U280">_xlfn.IFS(T280="","",AND(T277&lt;&gt;"",T279&lt;&gt;""),"3. ",AND(T277="",T279=""),"",TRUE,"2. ")</f>
        <v/>
      </c>
    </row>
    <row r="281" spans="1:21" x14ac:dyDescent="0.25">
      <c r="A281" s="121"/>
      <c r="B281" s="141"/>
      <c r="C281" s="163"/>
      <c r="D281" s="454"/>
      <c r="E281" s="753"/>
      <c r="F281" s="753"/>
      <c r="G281" s="753"/>
      <c r="H281" s="455"/>
      <c r="I281" s="519"/>
      <c r="J281" s="747"/>
      <c r="K281" s="749"/>
      <c r="L281" s="574"/>
      <c r="M281" s="381"/>
      <c r="N281" s="141"/>
      <c r="O281" s="121"/>
      <c r="P281" s="127"/>
      <c r="Q281" s="210"/>
      <c r="R281" s="210"/>
      <c r="S281" s="210"/>
      <c r="T281" s="210"/>
      <c r="U281" s="210"/>
    </row>
    <row r="282" spans="1:21" x14ac:dyDescent="0.25">
      <c r="A282" s="121"/>
      <c r="B282" s="141"/>
      <c r="C282" s="163"/>
      <c r="D282" s="454"/>
      <c r="E282" s="753"/>
      <c r="F282" s="753"/>
      <c r="G282" s="753"/>
      <c r="H282" s="455"/>
      <c r="I282" s="519"/>
      <c r="J282" s="747"/>
      <c r="K282" s="749"/>
      <c r="L282" s="574"/>
      <c r="M282" s="381"/>
      <c r="N282" s="141"/>
      <c r="O282" s="121"/>
      <c r="P282" s="127"/>
      <c r="Q282" s="210"/>
      <c r="R282" s="210"/>
      <c r="S282" s="210"/>
      <c r="T282" s="210"/>
      <c r="U282" s="210"/>
    </row>
    <row r="283" spans="1:21" x14ac:dyDescent="0.25">
      <c r="A283" s="121"/>
      <c r="B283" s="141"/>
      <c r="C283" s="163"/>
      <c r="D283" s="454"/>
      <c r="E283" s="753"/>
      <c r="F283" s="753"/>
      <c r="G283" s="753"/>
      <c r="H283" s="455"/>
      <c r="I283" s="519"/>
      <c r="J283" s="747"/>
      <c r="K283" s="749"/>
      <c r="L283" s="574"/>
      <c r="M283" s="381"/>
      <c r="N283" s="141"/>
      <c r="O283" s="121"/>
      <c r="P283" s="127"/>
      <c r="Q283" s="210"/>
      <c r="R283" s="210"/>
      <c r="S283" s="210"/>
      <c r="T283" s="210"/>
      <c r="U283" s="210"/>
    </row>
    <row r="284" spans="1:21" x14ac:dyDescent="0.25">
      <c r="A284" s="121"/>
      <c r="B284" s="141"/>
      <c r="C284" s="163"/>
      <c r="D284" s="458"/>
      <c r="E284" s="754"/>
      <c r="F284" s="754"/>
      <c r="G284" s="754"/>
      <c r="H284" s="459"/>
      <c r="I284" s="519"/>
      <c r="J284" s="750"/>
      <c r="K284" s="752"/>
      <c r="L284" s="574"/>
      <c r="M284" s="381"/>
      <c r="N284" s="141"/>
      <c r="O284" s="121"/>
      <c r="P284" s="127"/>
      <c r="Q284" s="210"/>
      <c r="R284" s="210"/>
      <c r="S284" s="210"/>
      <c r="T284" s="210"/>
      <c r="U284" s="210"/>
    </row>
    <row r="285" spans="1:21" ht="8.1" customHeight="1" x14ac:dyDescent="0.25">
      <c r="A285" s="121"/>
      <c r="B285" s="141"/>
      <c r="C285" s="163"/>
      <c r="D285" s="460"/>
      <c r="E285" s="461"/>
      <c r="F285" s="461"/>
      <c r="G285" s="461"/>
      <c r="H285" s="460"/>
      <c r="I285" s="444"/>
      <c r="J285" s="462"/>
      <c r="K285" s="462"/>
      <c r="L285" s="462"/>
      <c r="M285" s="381"/>
      <c r="N285" s="141"/>
      <c r="O285" s="121"/>
      <c r="P285" s="127"/>
      <c r="Q285" s="210"/>
      <c r="R285" s="210"/>
      <c r="S285" s="210"/>
      <c r="T285" s="210"/>
      <c r="U285" s="210"/>
    </row>
    <row r="286" spans="1:21" x14ac:dyDescent="0.25">
      <c r="A286" s="121"/>
      <c r="B286" s="141"/>
      <c r="C286" s="163"/>
      <c r="D286" s="574"/>
      <c r="E286" s="574"/>
      <c r="F286" s="574"/>
      <c r="G286" s="574"/>
      <c r="H286" s="574"/>
      <c r="I286" s="444"/>
      <c r="J286" s="462"/>
      <c r="K286" s="462"/>
      <c r="L286" s="462"/>
      <c r="M286" s="381"/>
      <c r="N286" s="141"/>
      <c r="O286" s="121"/>
      <c r="P286" s="127"/>
      <c r="Q286" s="210"/>
      <c r="R286" s="210"/>
      <c r="S286" s="210"/>
      <c r="T286" s="210"/>
      <c r="U286" s="210"/>
    </row>
    <row r="287" spans="1:21" x14ac:dyDescent="0.25">
      <c r="A287" s="121"/>
      <c r="B287" s="141"/>
      <c r="C287" s="163"/>
      <c r="D287" s="740" t="s">
        <v>287</v>
      </c>
      <c r="E287" s="741"/>
      <c r="F287" s="741"/>
      <c r="G287" s="741"/>
      <c r="H287" s="741"/>
      <c r="I287" s="737" t="s">
        <v>288</v>
      </c>
      <c r="J287" s="737"/>
      <c r="K287" s="617" t="s">
        <v>289</v>
      </c>
      <c r="L287" s="618"/>
      <c r="M287" s="381"/>
      <c r="N287" s="141"/>
      <c r="O287" s="121"/>
      <c r="P287" s="127"/>
      <c r="Q287" s="210"/>
      <c r="R287" s="210"/>
      <c r="S287" s="210"/>
      <c r="T287" s="210"/>
      <c r="U287" s="210"/>
    </row>
    <row r="288" spans="1:21" ht="38.25" customHeight="1" x14ac:dyDescent="0.25">
      <c r="A288" s="121"/>
      <c r="B288" s="141"/>
      <c r="C288" s="163"/>
      <c r="D288" s="619"/>
      <c r="E288" s="742"/>
      <c r="F288" s="742"/>
      <c r="G288" s="742"/>
      <c r="H288" s="743"/>
      <c r="I288" s="738"/>
      <c r="J288" s="739"/>
      <c r="K288" s="718"/>
      <c r="L288" s="620"/>
      <c r="M288" s="381"/>
      <c r="N288" s="141"/>
      <c r="O288" s="121"/>
      <c r="P288" s="127"/>
      <c r="Q288" s="210"/>
      <c r="R288" s="210"/>
      <c r="S288" s="210"/>
      <c r="T288" s="210"/>
      <c r="U288" s="210"/>
    </row>
    <row r="289" spans="1:21" x14ac:dyDescent="0.25">
      <c r="A289" s="121"/>
      <c r="B289" s="141"/>
      <c r="C289" s="163"/>
      <c r="D289" s="460"/>
      <c r="E289" s="461"/>
      <c r="F289" s="461"/>
      <c r="G289" s="461"/>
      <c r="H289" s="460"/>
      <c r="I289" s="519"/>
      <c r="J289" s="609"/>
      <c r="K289" s="609"/>
      <c r="L289" s="609"/>
      <c r="M289" s="381"/>
      <c r="N289" s="141"/>
      <c r="O289" s="121"/>
      <c r="P289" s="127"/>
      <c r="Q289" s="210"/>
      <c r="R289" s="210"/>
      <c r="S289" s="210"/>
      <c r="T289" s="210"/>
      <c r="U289" s="210"/>
    </row>
    <row r="290" spans="1:21" x14ac:dyDescent="0.25">
      <c r="A290" s="121"/>
      <c r="B290" s="141"/>
      <c r="C290" s="141"/>
      <c r="D290" s="141"/>
      <c r="E290" s="523"/>
      <c r="F290" s="523"/>
      <c r="G290" s="524"/>
      <c r="H290" s="198"/>
      <c r="I290" s="467"/>
      <c r="J290" s="141"/>
      <c r="K290" s="141"/>
      <c r="L290" s="141"/>
      <c r="M290" s="141"/>
      <c r="N290" s="141"/>
      <c r="O290" s="121"/>
      <c r="P290" s="127"/>
      <c r="Q290" s="340"/>
      <c r="R290" s="463"/>
      <c r="S290" s="463"/>
      <c r="T290" s="525"/>
      <c r="U290" s="210"/>
    </row>
    <row r="291" spans="1:21" ht="6" customHeight="1" x14ac:dyDescent="0.25">
      <c r="A291" s="121"/>
      <c r="B291" s="121"/>
      <c r="C291" s="121"/>
      <c r="D291" s="121"/>
      <c r="E291" s="121"/>
      <c r="F291" s="121"/>
      <c r="G291" s="123"/>
      <c r="H291" s="124"/>
      <c r="I291" s="472"/>
      <c r="J291" s="121"/>
      <c r="K291" s="121"/>
      <c r="L291" s="121"/>
      <c r="M291" s="121"/>
      <c r="N291" s="121"/>
      <c r="O291" s="121"/>
      <c r="P291" s="127"/>
      <c r="Q291" s="210"/>
      <c r="R291" s="210"/>
      <c r="S291" s="210"/>
      <c r="T291" s="210"/>
      <c r="U291" s="210"/>
    </row>
  </sheetData>
  <sheetProtection algorithmName="SHA-512" hashValue="6DBao5G6luL/Y9Z5o4XkbtHN4X4vZFng1kXaZwWKcqES/GeJgu+UADjxJE/bI3CmegPoSKw+pakoEmG5Rk1UrQ==" saltValue="vpUwRIKlWpKuSxUQEeK2dA==" spinCount="100000" sheet="1" objects="1" scenarios="1"/>
  <mergeCells count="39">
    <mergeCell ref="E224:G229"/>
    <mergeCell ref="J224:K229"/>
    <mergeCell ref="E178:H178"/>
    <mergeCell ref="D7:F13"/>
    <mergeCell ref="I7:K13"/>
    <mergeCell ref="E59:G64"/>
    <mergeCell ref="I178:J178"/>
    <mergeCell ref="J223:K223"/>
    <mergeCell ref="J58:K58"/>
    <mergeCell ref="J59:K64"/>
    <mergeCell ref="I67:J67"/>
    <mergeCell ref="I68:J68"/>
    <mergeCell ref="S6:U6"/>
    <mergeCell ref="S7:U7"/>
    <mergeCell ref="D67:H67"/>
    <mergeCell ref="E68:H68"/>
    <mergeCell ref="E169:G174"/>
    <mergeCell ref="J169:K174"/>
    <mergeCell ref="I177:J177"/>
    <mergeCell ref="D177:H177"/>
    <mergeCell ref="E114:G119"/>
    <mergeCell ref="J114:K119"/>
    <mergeCell ref="I123:J123"/>
    <mergeCell ref="J168:K168"/>
    <mergeCell ref="I122:J122"/>
    <mergeCell ref="D122:H122"/>
    <mergeCell ref="E123:H123"/>
    <mergeCell ref="J113:K113"/>
    <mergeCell ref="I232:J232"/>
    <mergeCell ref="I233:J233"/>
    <mergeCell ref="D232:H232"/>
    <mergeCell ref="E233:H233"/>
    <mergeCell ref="I288:J288"/>
    <mergeCell ref="J278:K278"/>
    <mergeCell ref="E279:G284"/>
    <mergeCell ref="J279:K284"/>
    <mergeCell ref="I287:J287"/>
    <mergeCell ref="D287:H287"/>
    <mergeCell ref="E288:H288"/>
  </mergeCells>
  <conditionalFormatting sqref="F1:F6">
    <cfRule type="expression" dxfId="23" priority="190">
      <formula>F1=0</formula>
    </cfRule>
  </conditionalFormatting>
  <conditionalFormatting sqref="F15:F65">
    <cfRule type="expression" dxfId="22" priority="61">
      <formula>F15=0</formula>
    </cfRule>
  </conditionalFormatting>
  <conditionalFormatting sqref="F69:F120">
    <cfRule type="expression" dxfId="20" priority="7">
      <formula>F69=0</formula>
    </cfRule>
  </conditionalFormatting>
  <conditionalFormatting sqref="F124:F175">
    <cfRule type="expression" dxfId="18" priority="5">
      <formula>F124=0</formula>
    </cfRule>
  </conditionalFormatting>
  <conditionalFormatting sqref="F179:F230">
    <cfRule type="expression" dxfId="16" priority="3">
      <formula>F179=0</formula>
    </cfRule>
  </conditionalFormatting>
  <conditionalFormatting sqref="F234:F285">
    <cfRule type="expression" dxfId="14" priority="1">
      <formula>F234=0</formula>
    </cfRule>
  </conditionalFormatting>
  <conditionalFormatting sqref="F289:F291">
    <cfRule type="expression" dxfId="12" priority="22">
      <formula>F289=0</formula>
    </cfRule>
  </conditionalFormatting>
  <conditionalFormatting sqref="J58:K64">
    <cfRule type="cellIs" dxfId="11" priority="13" operator="equal">
      <formula>""</formula>
    </cfRule>
  </conditionalFormatting>
  <conditionalFormatting sqref="J113:K119">
    <cfRule type="cellIs" dxfId="10" priority="12" operator="equal">
      <formula>""</formula>
    </cfRule>
  </conditionalFormatting>
  <conditionalFormatting sqref="J168:K174">
    <cfRule type="cellIs" dxfId="9" priority="11" operator="equal">
      <formula>""</formula>
    </cfRule>
  </conditionalFormatting>
  <conditionalFormatting sqref="J223:K229">
    <cfRule type="cellIs" dxfId="8" priority="10" operator="equal">
      <formula>""</formula>
    </cfRule>
  </conditionalFormatting>
  <conditionalFormatting sqref="J278:K284">
    <cfRule type="cellIs" dxfId="7" priority="9" operator="equal">
      <formula>""</formula>
    </cfRule>
  </conditionalFormatting>
  <dataValidations xWindow="647" yWindow="655" count="31">
    <dataValidation allowBlank="1" showInputMessage="1" showErrorMessage="1" promptTitle="Stillingstittel" prompt="Oppgi de(n) ansattes stillingstittel, som «miljøarbeider» eller «tolk»." sqref="G31 G196 G86 G141 G251" xr:uid="{C13E11CD-BCE4-4B6D-87F0-BE4203ED3D49}"/>
    <dataValidation allowBlank="1" showInputMessage="1" promptTitle="Tiltak" prompt="Oppgi for hvilke tiltak den ansatte blir brukt til, som «hjemmesykepleie»." sqref="G23 G188 G78 G133 G243" xr:uid="{69CE9D70-007B-46B2-976D-0B991A937224}"/>
    <dataValidation allowBlank="1" showInputMessage="1" showErrorMessage="1" errorTitle="Ugyldig verdi" error="Arbeidstimer per uke skal ikke overstige alminnelig arbeidstid." sqref="F43 F208 F98 F153 F263" xr:uid="{E5FB0C80-DC68-4572-85FD-47B590BE3C94}"/>
    <dataValidation allowBlank="1" showInputMessage="1" showErrorMessage="1" errorTitle="Ugyldig verdi" error="Velg riktig svar fra nedtrekksmenyen." sqref="H46 H27 H211 H192 H101 H82 H156 H137 H266 H247" xr:uid="{599023AF-7443-4960-9A91-3E57197B5DE0}"/>
    <dataValidation operator="greaterThanOrEqual" allowBlank="1" showInputMessage="1" showErrorMessage="1" errorTitle="Ugyldig verdi" error="Antall ansatte må kun være tall og minst 1. " sqref="H46 H27 H211 H192 H101 H82 H156 H137 H266 H247" xr:uid="{EAF9F8FA-6A3E-45DE-8F3D-413C190F2B59}"/>
    <dataValidation allowBlank="1" showInputMessage="1" showErrorMessage="1" errorTitle="Ugyldig verdi" error="Velg riktig sats fra nedtrekksmenyen._x000a__x000a_Sone   Sats _x000a_I           14,1 %_x000a_II          10,6 %_x000a_III           6,4 %_x000a_IV           5,1 %_x000a_IVa         7,9 %_x000a_V            0,0 %_x000a_" promptTitle="Arbeidsgiveravgift" prompt="Oppgi satsen for arbeidsgiveravgift for din kommune. Arbeidsgiveravgiften er regionalt differensiert og fastsettes av Stortinget hvert år. _x000a__x000a_Klikk på linken til venstre for å finne riktig arbeidsgiveravgift for deres kommune._x000a_" sqref="G44:G45 G209:G210 G99:G100 G154:G155 G264:G265" xr:uid="{348779F1-6479-4F01-9E60-FAA0CFE387A6}"/>
    <dataValidation allowBlank="1" showErrorMessage="1" promptTitle="Stillingstittel" prompt="Oppgi stillingstittelen, som «miljøarbeider» eller «tolk»." sqref="F36 F31 F91 F86 F146 F141 F201 F196 F256 F251" xr:uid="{43CAA717-B947-407C-8097-04CC8C3F2804}"/>
    <dataValidation allowBlank="1" showInputMessage="1" showErrorMessage="1" promptTitle="Stillingstittel" prompt="Oppgi stillingstittelen, som «miljøarbeider» eller «tolk»." sqref="G36 G201 G91 G146 G256" xr:uid="{EEE68AC5-EB6D-4DAD-8F68-1B52608C42E1}"/>
    <dataValidation type="whole" operator="greaterThanOrEqual" allowBlank="1" showInputMessage="1" showErrorMessage="1" errorTitle="Ugyldig verdi" error="Antall ansatte må kun være tall og minst 1. " promptTitle="Antall ansatte" prompt="Oppgi hvor mange ansatte denne beregningen gjelder for." sqref="G42 G207 G97 G152 G262" xr:uid="{75A2B5CB-F751-4DA5-B4B0-C21829AD5609}">
      <formula1>1</formula1>
    </dataValidation>
    <dataValidation allowBlank="1" showInputMessage="1" showErrorMessage="1" prompt="Dette er beregnet som_x000a__x000a_Årslønn x stillingsprosent x arbeidsuker i tilskuddsperioden / 52 uker, evt._x000a__x000a_Timelønn (før sos. utg) x arbeidstimer per uke x arbeidsuker i tilskuddperioden" sqref="G50 G215 G105 G160 G270" xr:uid="{80C64100-C0F1-4322-9211-C19F76C844EA}"/>
    <dataValidation allowBlank="1" showErrorMessage="1" sqref="F22 F25 F77 F80 F132 F135 F187 F190 F242 F245" xr:uid="{A9B46213-D2F2-45A8-B114-D9401898AD43}"/>
    <dataValidation allowBlank="1" showErrorMessage="1" prompt="Dette er beregnet som_x000a__x000a_Årslønn x stillingsprosent x arbeidsuker i tilskuddsperioden / 52 uker, evt._x000a__x000a_Timelønn (før sos. utg) x arbeidstimer per uke x arbeidsuker i tilskuddperioden" sqref="F50:F58 F215:F223 F105:F113 F160:F168 F270:F278" xr:uid="{D5943D1B-4BBA-40E7-B9CA-EA7DFA80BCC4}"/>
    <dataValidation allowBlank="1" showInputMessage="1" showErrorMessage="1" promptTitle="Årsramme" prompt="Årsramme er antall timer man skal undervise i et fag for at det skal utgjøre en 100 % stilling." sqref="C33:D34 C198:D199 C88:D89 C143:D144 C253:D254" xr:uid="{E69083E0-96F2-451A-9F6C-781D76AA2FF3}"/>
    <dataValidation allowBlank="1" showInputMessage="1" showErrorMessage="1" errorTitle="Ugyldig verdi" error="Velg årsramme fra nedtrekksmenyen." promptTitle="Årsramme (à 60 minutter)" prompt="Velg riktig årsramme fra listen. Husk å omregne eventuelle 45 minutters timer til hele klokketimer." sqref="G33 G198 G88 G143 G253" xr:uid="{A5781552-2A12-48FF-8040-8C8765A9782D}"/>
    <dataValidation allowBlank="1" showInputMessage="1" showErrorMessage="1" errorTitle="Ugyldig verdi" error="Velg årsramme fra nedtrekksmenyen." sqref="H32:H34 H197:H199 H87:H89 H142:H144 H252:H254" xr:uid="{81CC61BD-30D9-4D52-9ABF-78AABCD89A51}"/>
    <dataValidation type="list" allowBlank="1" showErrorMessage="1" errorTitle="Ugyldig verdi" error="Velg Oslo kommune eller KS-området fra nedtrekksmenyen." promptTitle="Riktig lønnsområde" prompt="Velg riktig lønnsområde fra listen: &quot;Oslo&quot; eller &quot;KS-området&quot;._x000a__x000a_" sqref="F32 F87 F142 F197 F252" xr:uid="{7C45FC72-5C4D-4204-A1A6-D46EBAB1B27C}">
      <formula1>Område</formula1>
    </dataValidation>
    <dataValidation operator="greaterThanOrEqual" allowBlank="1" showInputMessage="1" promptTitle="Årslønn" prompt="Skriv den ansattes årslønn (grunnlønn). Gjelder skjemaet flere ansatte, oppgir dere gjennomsnittet av årslønnene. _x000a__x000a_Selv om den ansatte jobber deltid, skal dere oppgi årslønn for full stilling._x000a_" sqref="H37 H202 H92 H147 H257" xr:uid="{6C95E9DA-6FB4-4B51-96CD-DDFBFF4223FC}"/>
    <dataValidation type="whole" operator="greaterThanOrEqual" allowBlank="1" promptTitle="Årslønn" prompt="Skriv den ansattes årslønn (grunnlønn). Gjelder skjemaet flere ansatte, oppgir dere gjennomsnittet av årslønnene. _x000a__x000a_Selv om den ansatte jobber deltid, skal dere oppgi årslønn for full stilling._x000a_" sqref="F37 F92 F147 F202 F257" xr:uid="{B2D45D12-9FF3-49C2-8660-FDF78983513E}">
      <formula1>0</formula1>
    </dataValidation>
    <dataValidation type="list" allowBlank="1" showInputMessage="1" showErrorMessage="1" sqref="F33 F88 F143 F198 F253" xr:uid="{A78547AD-3EB2-40D6-9695-9A8ACD7764D2}">
      <formula1>Trinn</formula1>
    </dataValidation>
    <dataValidation allowBlank="1" showInputMessage="1" showErrorMessage="1" errorTitle="Ugyldig verdi" error="Velg riktig svar fra nedtrekksmenyen." promptTitle="Undervisningstimer i periode" prompt="Oppgi antall undervisningstimer som flyktningen mottar totalt i tilskuddperioden. _x000a__x000a_Tallet er uavhengig av antall ansatte som har undervist." sqref="G26 G191 G81 G136 G246" xr:uid="{DCA04ED0-299B-43EF-8F78-3DF98C5898A4}"/>
    <dataValidation operator="greaterThanOrEqual" allowBlank="1" showInputMessage="1" showErrorMessage="1" errorTitle="Ugyldig verdi" error="Antall ansatte må kun være tall og minst 1. " promptTitle="Undervisningstimer i periode" prompt="Oppgi antall undervisningstimer flyktningen mottar i løpet av tilskuddsperioden._x000a__x000a_Tallet er uavhengig av hvor mange ansatte som har undervist flyktningen." sqref="G26 G191 G81 G136 G246" xr:uid="{B9D0BD91-E59C-4F37-B337-908F76F0F189}"/>
    <dataValidation allowBlank="1" showInputMessage="1" showErrorMessage="1" promptTitle="Årstimer tilrådt av PPT" prompt="(à 60 minutter)_x000a__x000a_Husk: omregne eventuelle undervisningstimer à 45 minutter til klokketimer._x000a__x000a_Eksempel: _x000a_300 timer totalt à 45 minutter _x000a_= 300 totalt à 45 minutter x 0,75 _x000a_= 225 totalt à 60 minutter" sqref="G25 G190 G80 G135 G245" xr:uid="{0EAAE442-DCA3-446F-8E30-9C94508A22A1}"/>
    <dataValidation allowBlank="1" showInputMessage="1" showErrorMessage="1" promptTitle="Tiltaksnavn" prompt="Oppgi hvilket tiltak denne kostnadsberegningen gjelder for, som &quot;spesialundervisning&quot;" sqref="G22 G187 G77 G132 G242" xr:uid="{14B7717F-F7A1-4B6A-BB7E-088E737749D2}"/>
    <dataValidation allowBlank="1" showInputMessage="1" showErrorMessage="1" errorTitle="Ugyldig verdi" error="Velg Oslo kommune eller KS-området fra nedtrekksmenyen." promptTitle="Område" prompt="Velg riktig lønnsområde fra listen: &quot;Oslo&quot; eller &quot;KS-området&quot;._x000a__x000a_" sqref="G32 G197 G87 G142 G252" xr:uid="{3CEA9585-9D3C-43DB-8A10-90A4A438E226}"/>
    <dataValidation operator="greaterThanOrEqual" allowBlank="1" showInputMessage="1" promptTitle="Årslønn for full stilling" prompt="Oppgi den ansattes årslønn (grunnlønn). Bruk gjennomsnitlig årslønn dersom denne beregningen gjelder flere ansatte. _x000a__x000a_Oppgi årslønn for full stilling, selv om de(n) ansatte jobber deltid." sqref="G37 G202 G92 G147 G257" xr:uid="{CCD60A5E-2396-4C1A-8F5C-79B1F90B2D5E}"/>
    <dataValidation allowBlank="1" showInputMessage="1" showErrorMessage="1" errorTitle="Ugyldig verdi" error="Feriepengersatsen må være 12% eller 14,2% av feriepengegrunnlaget. _x000a__x000a_Velg fra nedtrekksmenyen." promptTitle="Sats feriepenger" prompt="Velg &quot;12 %&quot; eller &quot;14,3 %&quot; - feriepengegrunnlag._x000a__x000a_Det vanligste er 12 %. 14,3 % brukes for ansatte over 60 år - de har rett på av 14,3 % av feriepengegrunnlaget ved seks ukers ferie." sqref="G38 G203 G93 G148 G258" xr:uid="{C00B7882-555D-46FC-8EB9-C38B2409C9B0}"/>
    <dataValidation allowBlank="1" showInputMessage="1" showErrorMessage="1" errorTitle="Ugyldig verdi" error="Velg riktig sats fra nedtrekksmenyen._x000a__x000a_Sone   Sats _x000a_I           14,1 %_x000a_II          10,6 %_x000a_III           6,4 %_x000a_IV           5,1 %_x000a_IVa         7,9 %_x000a_V            0,0 %_x000a_" promptTitle="Sats arbeidsgiveravgift" prompt="Oppgi satsen for arbeidsgiveravgift for din kommune. Arbeidsgiveravgiften er regionalt differensiert og fastsettes av Stortinget hvert år. _x000a__x000a_Klikk på linken til venstre for å finne riktig arbeidsgiveravgift for deres kommune._x000a_" sqref="G41 G206 G96 G151 G261" xr:uid="{DB9E4CFC-62E8-4410-9B2E-0646F10FB9C4}"/>
    <dataValidation errorStyle="information" operator="lessThanOrEqual" allowBlank="1" showInputMessage="1" error="Du oppgir en høy pensjonssats - over 10%. Forklar hvorfor, og vis utregning i kommentarfeltet nederst. " promptTitle="sats pensjon" prompt="Grunnpremie for pensjon dekkes med 11 %" sqref="G259 G204 G94 G149 G39" xr:uid="{13C2E054-9DED-490A-BFFC-AA87B34BA6F3}"/>
    <dataValidation type="list" allowBlank="1" showErrorMessage="1" errorTitle="Ugyldig verdi" error="Feriepengersatsen må være 12% eller 14,2% av feriepengegrunnlaget. _x000a__x000a_Velg fra nedtrekksmenyen." promptTitle="Feriepenger" prompt="Velg &quot;12 %&quot; eller &quot;14,3 %&quot; - feriepengegrunnlag._x000a__x000a_Det vanligste er 12 %. 14,3 % brukes for ansatte over 60 år. Denne gruppen har rett på av 14,3 % av feriepengegrunnlaget ved seks ukers ferie." sqref="F40 F95 F150 F205 F260" xr:uid="{B058EB6E-ED6F-4D85-B140-FEAF16AB99DA}">
      <formula1>"0%,-2%"</formula1>
    </dataValidation>
    <dataValidation errorStyle="information" operator="lessThanOrEqual" allowBlank="1" showInputMessage="1" error="Du oppgir en høy pensjonssats - over 10%. Forklar hvorfor, og vis utregning i kommentarfeltet nederst. " promptTitle="ansattes egenandel for pensjon" prompt="Ansattes egenandel for grunnpremien er normalt 2 %. _x000a__x000a_Sett prosenten til 0 % dersom arbeidsgiver ikke trekker egenandel fra lønnen, og legg inn en kommentar om dette i feltet under._x000a_" sqref="G260 G205 G95 G150 G40" xr:uid="{463A18F9-072F-492A-8473-DB0054583B0C}"/>
    <dataValidation type="decimal" allowBlank="1" showInputMessage="1" showErrorMessage="1" errorTitle="Ugyldig verdi" error="Arbeidstimer per uke skal ikke overstige alminnelig arbeidstid, evt. 50 timer per uke." promptTitle="Undervisningstimer i periode" prompt="Oppgi antall timer flyktningen blir undervist i løpet av tilskuddsperioden._x000a__x000a_Tallet er uavhengig av hvor mange ansatte som har undervist." sqref="G26 G191 G81 G136 G246" xr:uid="{488EE7D3-1803-4930-A339-4927D65A952D}">
      <formula1>0</formula1>
      <formula2>#REF!</formula2>
    </dataValidation>
  </dataValidations>
  <hyperlinks>
    <hyperlink ref="E42" r:id="rId1" display="Finn din kommunes differensierte avgiftssats her" xr:uid="{0A6C4538-6B48-474D-AAFB-F0F302781E34}"/>
    <hyperlink ref="E34" r:id="rId2" xr:uid="{49C2A7E9-160C-4D5E-9B5B-B5060FE68EA3}"/>
    <hyperlink ref="E97" r:id="rId3" display="Finn din kommunes differensierte avgiftssats her" xr:uid="{3F365241-CA51-4EDA-98C7-A9EAE695F8CE}"/>
    <hyperlink ref="E89" r:id="rId4" xr:uid="{8E884F25-43BC-44C0-96FF-0FB0CA697442}"/>
    <hyperlink ref="E152" r:id="rId5" display="Finn din kommunes differensierte avgiftssats her" xr:uid="{F33387C3-FE32-4739-A46E-7C1FAF97FF01}"/>
    <hyperlink ref="E144" r:id="rId6" xr:uid="{4892C4BB-E04E-4732-8AC6-E7420538649E}"/>
    <hyperlink ref="E207" r:id="rId7" display="Finn din kommunes differensierte avgiftssats her" xr:uid="{13FE0145-06CE-4160-BE4B-E2369F0170D0}"/>
    <hyperlink ref="E199" r:id="rId8" xr:uid="{B9341E59-FB75-4EAE-97EB-5484B7BA1E36}"/>
    <hyperlink ref="E262" r:id="rId9" display="Finn din kommunes differensierte avgiftssats her" xr:uid="{920BEB09-A798-4FC8-99BC-926CFBEF9755}"/>
    <hyperlink ref="E254" r:id="rId10" xr:uid="{F6C8B94F-035D-43E5-A9E6-1DE67460973C}"/>
  </hyperlinks>
  <pageMargins left="0.23622047244094491" right="0.23622047244094491" top="0.74803149606299213" bottom="0.74803149606299213" header="0.31496062992125984" footer="0.31496062992125984"/>
  <pageSetup paperSize="9" scale="65" orientation="portrait" r:id="rId11"/>
  <rowBreaks count="1" manualBreakCount="1">
    <brk id="54" max="16383" man="1"/>
  </rowBreaks>
  <extLst>
    <ext xmlns:x14="http://schemas.microsoft.com/office/spreadsheetml/2009/9/main" uri="{78C0D931-6437-407d-A8EE-F0AAD7539E65}">
      <x14:conditionalFormattings>
        <x14:conditionalFormatting xmlns:xm="http://schemas.microsoft.com/office/excel/2006/main">
          <x14:cfRule type="expression" priority="196" id="{23462A9D-2CA0-44E0-B4F6-3B6617E81606}">
            <xm:f>$F$33=Innstillinger!$B$25</xm:f>
            <x14:dxf>
              <fill>
                <patternFill>
                  <bgColor rgb="FFE4EFE4"/>
                </patternFill>
              </fill>
            </x14:dxf>
          </x14:cfRule>
          <xm:sqref>F34</xm:sqref>
        </x14:conditionalFormatting>
        <x14:conditionalFormatting xmlns:xm="http://schemas.microsoft.com/office/excel/2006/main">
          <x14:cfRule type="expression" priority="8" id="{FD715C27-BE5D-4D09-8C31-1C7424BE3138}">
            <xm:f>$F$33=Innstillinger!$B$25</xm:f>
            <x14:dxf>
              <fill>
                <patternFill>
                  <bgColor rgb="FFE4EFE4"/>
                </patternFill>
              </fill>
            </x14:dxf>
          </x14:cfRule>
          <xm:sqref>F89</xm:sqref>
        </x14:conditionalFormatting>
        <x14:conditionalFormatting xmlns:xm="http://schemas.microsoft.com/office/excel/2006/main">
          <x14:cfRule type="expression" priority="6" id="{0EC67C21-5B82-4F29-BF5A-3D7690CCAC74}">
            <xm:f>$F$33=Innstillinger!$B$25</xm:f>
            <x14:dxf>
              <fill>
                <patternFill>
                  <bgColor rgb="FFE4EFE4"/>
                </patternFill>
              </fill>
            </x14:dxf>
          </x14:cfRule>
          <xm:sqref>F144</xm:sqref>
        </x14:conditionalFormatting>
        <x14:conditionalFormatting xmlns:xm="http://schemas.microsoft.com/office/excel/2006/main">
          <x14:cfRule type="expression" priority="4" id="{9AD83416-DA9A-43A5-AC0C-6C173666CCAF}">
            <xm:f>$F$33=Innstillinger!$B$25</xm:f>
            <x14:dxf>
              <fill>
                <patternFill>
                  <bgColor rgb="FFE4EFE4"/>
                </patternFill>
              </fill>
            </x14:dxf>
          </x14:cfRule>
          <xm:sqref>F199</xm:sqref>
        </x14:conditionalFormatting>
        <x14:conditionalFormatting xmlns:xm="http://schemas.microsoft.com/office/excel/2006/main">
          <x14:cfRule type="expression" priority="2" id="{23208CDF-572C-4DAE-BCAF-E831F887DFF2}">
            <xm:f>$F$33=Innstillinger!$B$25</xm:f>
            <x14:dxf>
              <fill>
                <patternFill>
                  <bgColor rgb="FFE4EFE4"/>
                </patternFill>
              </fill>
            </x14:dxf>
          </x14:cfRule>
          <xm:sqref>F254</xm:sqref>
        </x14:conditionalFormatting>
      </x14:conditionalFormattings>
    </ext>
    <ext xmlns:x14="http://schemas.microsoft.com/office/spreadsheetml/2009/9/main" uri="{CCE6A557-97BC-4b89-ADB6-D9C93CAAB3DF}">
      <x14:dataValidations xmlns:xm="http://schemas.microsoft.com/office/excel/2006/main" xWindow="647" yWindow="655" count="3">
        <x14:dataValidation type="list" allowBlank="1" showErrorMessage="1" errorTitle="Ugyldig verdi" error="Velg riktig sats fra nedtrekksmenyen._x000a__x000a_Sone   Sats _x000a_I           14,1 %_x000a_II          10,6 %_x000a_III           6,4 %_x000a_IV           5,1 %_x000a_IVa         7,9 %_x000a_V            0,0 %_x000a_" promptTitle="Arbeidsgiveravgift" prompt="Oppgi satsen for arbeidsgiveravgift for din kommune. Arbeidsgiveravgiften er regionalt differensiert og fastsettes av Stortinget hvert år. _x000a__x000a_Klikk på linken til venstre for å finne riktig arbeidsgiveravgift for deres kommune._x000a_" xr:uid="{1D6ECB2F-F211-4F01-B657-074A0396A643}">
          <x14:formula1>
            <xm:f>Innstillinger!$B$57:$B$63</xm:f>
          </x14:formula1>
          <xm:sqref>F41 F96 F151 F206 F261</xm:sqref>
        </x14:dataValidation>
        <x14:dataValidation type="list" allowBlank="1" showErrorMessage="1" errorTitle="Ugyldig verdi" error="Feriepengersatsen må være 12% eller 14,2% av feriepengegrunnlaget. _x000a__x000a_Velg fra nedtrekksmenyen." promptTitle="Feriepenger" prompt="Velg &quot;12 %&quot; eller &quot;14,3 %&quot; - feriepengegrunnlag._x000a__x000a_Det vanligste er 12 %. 14,3 % brukes for ansatte over 60 år. Denne gruppen har rett på av 14,3 % av feriepengegrunnlaget ved seks ukers ferie." xr:uid="{562B90BE-4B11-4248-B455-72B511BD95F0}">
          <x14:formula1>
            <xm:f>Innstillinger!$B$67:$B$69</xm:f>
          </x14:formula1>
          <xm:sqref>F38 F93 F148 F203 F258</xm:sqref>
        </x14:dataValidation>
        <x14:dataValidation type="list" allowBlank="1" showInputMessage="1" showErrorMessage="1" errorTitle="Ugyldig verdi" error="Velg riktig svar fra nedtrekksmenyen." promptTitle="Alminnelig arbeidstid" prompt="Velg riktig ukentlig arbeidstid for den ansatte. Vanligst er 37,5t for tariffavtale, og 35,5t for turnus._x000a__x000a_Selv om den ansatte jobber deltid, skal dere oppgi antall timer personen ville hatt i en fullstilling i løpet av en uke." xr:uid="{76FA9183-28C1-433F-8AC2-2CBBD3F8EB2C}">
          <x14:formula1>
            <xm:f>Innstillinger!$B$48:$B$53</xm:f>
          </x14:formula1>
          <xm:sqref>G42 G207 G97 G152 G262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2C61-9737-42F2-A9F0-6ACCC3400056}">
  <sheetPr>
    <tabColor rgb="FFF2E7E7"/>
    <pageSetUpPr autoPageBreaks="0" fitToPage="1"/>
  </sheetPr>
  <dimension ref="A1:W163"/>
  <sheetViews>
    <sheetView showGridLines="0" zoomScale="110" zoomScaleNormal="110" zoomScaleSheetLayoutView="110" workbookViewId="0">
      <pane ySplit="4" topLeftCell="A5" activePane="bottomLeft" state="frozen"/>
      <selection activeCell="E21" sqref="E21"/>
      <selection pane="bottomLeft" activeCell="F34" sqref="F34"/>
    </sheetView>
  </sheetViews>
  <sheetFormatPr baseColWidth="10" defaultColWidth="0" defaultRowHeight="15" zeroHeight="1" x14ac:dyDescent="0.25"/>
  <cols>
    <col min="1" max="1" width="1.42578125" style="127" customWidth="1"/>
    <col min="2" max="3" width="4.28515625" style="127" customWidth="1"/>
    <col min="4" max="4" width="1.28515625" style="127" customWidth="1"/>
    <col min="5" max="5" width="48" style="127" customWidth="1"/>
    <col min="6" max="6" width="21.7109375" style="127" customWidth="1"/>
    <col min="7" max="7" width="3.42578125" style="127" bestFit="1" customWidth="1"/>
    <col min="8" max="8" width="1.28515625" style="127" customWidth="1"/>
    <col min="9" max="9" width="4.28515625" style="362" customWidth="1"/>
    <col min="10" max="10" width="16" style="362" customWidth="1"/>
    <col min="11" max="11" width="25.85546875" style="127" customWidth="1"/>
    <col min="12" max="12" width="1.28515625" style="127" customWidth="1"/>
    <col min="13" max="13" width="3.28515625" style="127" customWidth="1"/>
    <col min="14" max="14" width="4.28515625" style="127" customWidth="1"/>
    <col min="15" max="15" width="1.42578125" style="127" customWidth="1"/>
    <col min="16" max="16" width="11.42578125" style="127" hidden="1" customWidth="1"/>
    <col min="17" max="17" width="20.7109375" style="210" hidden="1" customWidth="1"/>
    <col min="18" max="18" width="12.140625" style="210" hidden="1" customWidth="1"/>
    <col min="19" max="19" width="16.5703125" style="210" hidden="1" customWidth="1"/>
    <col min="20" max="20" width="11.5703125" style="210" hidden="1" customWidth="1"/>
    <col min="21" max="22" width="0" style="210" hidden="1" customWidth="1"/>
    <col min="23" max="23" width="0" style="127" hidden="1" customWidth="1"/>
    <col min="24" max="16384" width="11.42578125" style="127" hidden="1"/>
  </cols>
  <sheetData>
    <row r="1" spans="1:23" ht="8.1" customHeight="1" x14ac:dyDescent="0.25">
      <c r="A1" s="121"/>
      <c r="B1" s="121"/>
      <c r="C1" s="121"/>
      <c r="D1" s="121"/>
      <c r="E1" s="121"/>
      <c r="F1" s="122"/>
      <c r="G1" s="123"/>
      <c r="H1" s="124"/>
      <c r="I1" s="124"/>
      <c r="J1" s="124"/>
      <c r="K1" s="126"/>
      <c r="L1" s="126"/>
      <c r="M1" s="121"/>
      <c r="N1" s="121"/>
      <c r="O1" s="121"/>
    </row>
    <row r="2" spans="1:23" s="211" customFormat="1" ht="31.5" x14ac:dyDescent="0.5">
      <c r="A2" s="121"/>
      <c r="B2" s="128"/>
      <c r="C2" s="129">
        <v>3</v>
      </c>
      <c r="D2" s="130"/>
      <c r="E2" s="131" t="s">
        <v>142</v>
      </c>
      <c r="F2" s="132"/>
      <c r="G2" s="123"/>
      <c r="H2" s="133"/>
      <c r="I2" s="133"/>
      <c r="J2" s="133"/>
      <c r="K2" s="128"/>
      <c r="L2" s="128"/>
      <c r="M2" s="128"/>
      <c r="N2" s="130"/>
      <c r="O2" s="121"/>
      <c r="Q2" s="210"/>
      <c r="R2" s="210"/>
      <c r="S2" s="210"/>
      <c r="T2" s="210"/>
      <c r="U2" s="210"/>
      <c r="V2" s="210"/>
    </row>
    <row r="3" spans="1:23" s="212" customFormat="1" x14ac:dyDescent="0.25">
      <c r="A3" s="121"/>
      <c r="B3" s="135"/>
      <c r="C3" s="135"/>
      <c r="D3" s="136"/>
      <c r="E3" s="137" t="s">
        <v>143</v>
      </c>
      <c r="F3" s="138"/>
      <c r="G3" s="135"/>
      <c r="H3" s="139"/>
      <c r="I3" s="139"/>
      <c r="J3" s="139"/>
      <c r="K3" s="135"/>
      <c r="L3" s="135"/>
      <c r="M3" s="135"/>
      <c r="N3" s="136"/>
      <c r="O3" s="121"/>
      <c r="Q3" s="317"/>
      <c r="R3" s="317"/>
      <c r="S3" s="317"/>
      <c r="T3" s="317"/>
      <c r="U3" s="317"/>
      <c r="V3" s="317"/>
    </row>
    <row r="4" spans="1:23" ht="8.1" customHeight="1" x14ac:dyDescent="0.25">
      <c r="A4" s="121"/>
      <c r="B4" s="121"/>
      <c r="C4" s="121"/>
      <c r="D4" s="121"/>
      <c r="E4" s="121"/>
      <c r="F4" s="122"/>
      <c r="G4" s="123"/>
      <c r="H4" s="124"/>
      <c r="I4" s="124"/>
      <c r="J4" s="124"/>
      <c r="K4" s="121"/>
      <c r="L4" s="121"/>
      <c r="M4" s="121"/>
      <c r="N4" s="121"/>
      <c r="O4" s="121"/>
    </row>
    <row r="5" spans="1:23" ht="15" customHeight="1" x14ac:dyDescent="0.25">
      <c r="A5" s="121"/>
      <c r="B5" s="141"/>
      <c r="C5" s="141"/>
      <c r="D5" s="141"/>
      <c r="E5" s="141"/>
      <c r="F5" s="141"/>
      <c r="G5" s="141"/>
      <c r="H5" s="141"/>
      <c r="I5" s="613"/>
      <c r="J5" s="613"/>
      <c r="K5" s="141"/>
      <c r="L5" s="141"/>
      <c r="M5" s="141"/>
      <c r="N5" s="141"/>
      <c r="O5" s="121"/>
      <c r="Q5" s="214"/>
    </row>
    <row r="6" spans="1:23" s="219" customFormat="1" ht="24" customHeight="1" x14ac:dyDescent="0.25">
      <c r="A6" s="121"/>
      <c r="B6" s="158"/>
      <c r="C6" s="216"/>
      <c r="D6" s="142"/>
      <c r="E6" s="143" t="s">
        <v>69</v>
      </c>
      <c r="F6" s="143"/>
      <c r="G6" s="217"/>
      <c r="H6" s="218"/>
      <c r="I6" s="143" t="s">
        <v>70</v>
      </c>
      <c r="J6" s="144"/>
      <c r="K6" s="145"/>
      <c r="L6" s="145"/>
      <c r="M6" s="146"/>
      <c r="N6" s="141"/>
      <c r="O6" s="121"/>
      <c r="P6" s="127"/>
      <c r="Q6" s="528" t="s">
        <v>71</v>
      </c>
      <c r="R6" s="324">
        <v>0.1</v>
      </c>
      <c r="S6" s="764" t="s">
        <v>144</v>
      </c>
      <c r="T6" s="764"/>
      <c r="U6" s="764"/>
      <c r="V6" s="354"/>
    </row>
    <row r="7" spans="1:23" s="219" customFormat="1" ht="22.5" customHeight="1" x14ac:dyDescent="0.25">
      <c r="A7" s="121"/>
      <c r="B7" s="158"/>
      <c r="C7" s="224"/>
      <c r="D7" s="765" t="s">
        <v>145</v>
      </c>
      <c r="E7" s="766"/>
      <c r="F7" s="766"/>
      <c r="G7" s="225"/>
      <c r="H7" s="226"/>
      <c r="I7" s="758" t="s">
        <v>286</v>
      </c>
      <c r="J7" s="758"/>
      <c r="K7" s="758"/>
      <c r="L7" s="758"/>
      <c r="M7" s="758"/>
      <c r="N7" s="141"/>
      <c r="O7" s="121"/>
      <c r="P7" s="127"/>
      <c r="Q7" s="321" t="s">
        <v>281</v>
      </c>
      <c r="R7" s="324">
        <v>0</v>
      </c>
      <c r="S7" s="761" t="s">
        <v>282</v>
      </c>
      <c r="T7" s="761"/>
      <c r="U7" s="761"/>
      <c r="V7" s="354"/>
    </row>
    <row r="8" spans="1:23" s="219" customFormat="1" ht="22.5" customHeight="1" x14ac:dyDescent="0.25">
      <c r="A8" s="121"/>
      <c r="B8" s="158"/>
      <c r="C8" s="224"/>
      <c r="D8" s="766"/>
      <c r="E8" s="766"/>
      <c r="F8" s="766"/>
      <c r="G8" s="225"/>
      <c r="H8" s="226"/>
      <c r="I8" s="758"/>
      <c r="J8" s="758"/>
      <c r="K8" s="758"/>
      <c r="L8" s="758"/>
      <c r="M8" s="758"/>
      <c r="N8" s="141"/>
      <c r="O8" s="121"/>
      <c r="P8" s="127"/>
      <c r="Q8" s="528" t="s">
        <v>146</v>
      </c>
      <c r="R8" s="529" t="s">
        <v>148</v>
      </c>
      <c r="S8" s="222"/>
      <c r="T8" s="223"/>
      <c r="U8" s="354"/>
      <c r="V8" s="354"/>
    </row>
    <row r="9" spans="1:23" ht="22.5" customHeight="1" x14ac:dyDescent="0.25">
      <c r="A9" s="121"/>
      <c r="B9" s="141"/>
      <c r="C9" s="150"/>
      <c r="D9" s="766"/>
      <c r="E9" s="766"/>
      <c r="F9" s="766"/>
      <c r="G9" s="225"/>
      <c r="H9" s="530"/>
      <c r="I9" s="758"/>
      <c r="J9" s="758"/>
      <c r="K9" s="758"/>
      <c r="L9" s="758"/>
      <c r="M9" s="758"/>
      <c r="N9" s="141"/>
      <c r="O9" s="121"/>
      <c r="Q9" s="528" t="s">
        <v>146</v>
      </c>
      <c r="R9" s="531" t="s">
        <v>73</v>
      </c>
    </row>
    <row r="10" spans="1:23" ht="22.5" customHeight="1" x14ac:dyDescent="0.25">
      <c r="A10" s="121"/>
      <c r="B10" s="141"/>
      <c r="C10" s="150"/>
      <c r="D10" s="766"/>
      <c r="E10" s="766"/>
      <c r="F10" s="766"/>
      <c r="G10" s="225"/>
      <c r="H10" s="530"/>
      <c r="I10" s="758"/>
      <c r="J10" s="758"/>
      <c r="K10" s="758"/>
      <c r="L10" s="758"/>
      <c r="M10" s="758"/>
      <c r="N10" s="141"/>
      <c r="O10" s="121"/>
      <c r="Q10" s="528" t="s">
        <v>146</v>
      </c>
      <c r="R10" s="532" t="s">
        <v>76</v>
      </c>
    </row>
    <row r="11" spans="1:23" ht="15" customHeight="1" x14ac:dyDescent="0.25">
      <c r="A11" s="121"/>
      <c r="B11" s="141"/>
      <c r="C11" s="225"/>
      <c r="D11" s="225"/>
      <c r="E11" s="225"/>
      <c r="F11" s="225"/>
      <c r="G11" s="225"/>
      <c r="H11" s="225"/>
      <c r="I11" s="614"/>
      <c r="J11" s="614"/>
      <c r="K11" s="225"/>
      <c r="L11" s="225"/>
      <c r="M11" s="225"/>
      <c r="N11" s="141"/>
      <c r="O11" s="121"/>
    </row>
    <row r="12" spans="1:23" ht="15" customHeight="1" x14ac:dyDescent="0.25">
      <c r="A12" s="121"/>
      <c r="B12" s="141"/>
      <c r="C12" s="141"/>
      <c r="D12" s="141"/>
      <c r="E12" s="141"/>
      <c r="F12" s="141"/>
      <c r="G12" s="141"/>
      <c r="H12" s="141"/>
      <c r="I12" s="613"/>
      <c r="J12" s="613"/>
      <c r="K12" s="141"/>
      <c r="L12" s="141"/>
      <c r="M12" s="141"/>
      <c r="N12" s="141"/>
      <c r="O12" s="121"/>
      <c r="Q12" s="232"/>
      <c r="R12" s="233"/>
    </row>
    <row r="13" spans="1:23" ht="6" customHeight="1" x14ac:dyDescent="0.25">
      <c r="A13" s="121"/>
      <c r="B13" s="124"/>
      <c r="C13" s="124"/>
      <c r="D13" s="124"/>
      <c r="E13" s="124"/>
      <c r="F13" s="124"/>
      <c r="G13" s="124"/>
      <c r="H13" s="124"/>
      <c r="I13" s="124"/>
      <c r="J13" s="124"/>
      <c r="K13" s="124"/>
      <c r="L13" s="124"/>
      <c r="M13" s="124"/>
      <c r="N13" s="121"/>
      <c r="O13" s="121"/>
    </row>
    <row r="14" spans="1:23" ht="15" customHeight="1" x14ac:dyDescent="0.25">
      <c r="A14" s="121"/>
      <c r="B14" s="141"/>
      <c r="C14" s="141"/>
      <c r="D14" s="141"/>
      <c r="E14" s="141"/>
      <c r="F14" s="141"/>
      <c r="G14" s="141"/>
      <c r="H14" s="141"/>
      <c r="I14" s="613"/>
      <c r="J14" s="613"/>
      <c r="K14" s="141"/>
      <c r="L14" s="141"/>
      <c r="M14" s="141"/>
      <c r="N14" s="141"/>
      <c r="O14" s="121"/>
    </row>
    <row r="15" spans="1:23" x14ac:dyDescent="0.25">
      <c r="A15" s="121"/>
      <c r="B15" s="141"/>
      <c r="C15" s="310"/>
      <c r="D15" s="311"/>
      <c r="E15" s="312"/>
      <c r="F15" s="312"/>
      <c r="G15" s="312"/>
      <c r="H15" s="312"/>
      <c r="I15" s="313"/>
      <c r="J15" s="313"/>
      <c r="K15" s="313"/>
      <c r="L15" s="313"/>
      <c r="M15" s="314"/>
      <c r="N15" s="141"/>
      <c r="O15" s="121"/>
      <c r="W15" s="210"/>
    </row>
    <row r="16" spans="1:23" ht="21" x14ac:dyDescent="0.35">
      <c r="A16" s="121"/>
      <c r="B16" s="141"/>
      <c r="C16" s="163"/>
      <c r="D16" s="164"/>
      <c r="E16" s="238" t="s">
        <v>149</v>
      </c>
      <c r="F16" s="208"/>
      <c r="G16" s="208"/>
      <c r="M16" s="166"/>
      <c r="N16" s="141"/>
      <c r="O16" s="121"/>
      <c r="W16" s="210"/>
    </row>
    <row r="17" spans="1:23" ht="15.75" x14ac:dyDescent="0.25">
      <c r="A17" s="121"/>
      <c r="B17" s="141"/>
      <c r="C17" s="163"/>
      <c r="D17" s="164"/>
      <c r="E17" s="707" t="s">
        <v>150</v>
      </c>
      <c r="F17" s="208"/>
      <c r="G17" s="208"/>
      <c r="K17" s="237"/>
      <c r="L17" s="237"/>
      <c r="M17" s="166"/>
      <c r="N17" s="141"/>
      <c r="O17" s="121"/>
      <c r="W17" s="210"/>
    </row>
    <row r="18" spans="1:23" ht="8.1" customHeight="1" x14ac:dyDescent="0.25">
      <c r="A18" s="121"/>
      <c r="B18" s="141"/>
      <c r="C18" s="163"/>
      <c r="D18" s="164"/>
      <c r="E18" s="236"/>
      <c r="F18" s="236"/>
      <c r="G18" s="236"/>
      <c r="H18" s="236"/>
      <c r="I18" s="237"/>
      <c r="J18" s="237"/>
      <c r="K18" s="237"/>
      <c r="L18" s="237"/>
      <c r="M18" s="303"/>
      <c r="N18" s="141"/>
      <c r="O18" s="121"/>
      <c r="W18" s="210"/>
    </row>
    <row r="19" spans="1:23" x14ac:dyDescent="0.25">
      <c r="A19" s="121"/>
      <c r="B19" s="141"/>
      <c r="C19" s="163"/>
      <c r="D19" s="241"/>
      <c r="E19" s="264"/>
      <c r="F19" s="264"/>
      <c r="G19" s="264"/>
      <c r="H19" s="244"/>
      <c r="I19" s="237"/>
      <c r="J19" s="237"/>
      <c r="K19" s="237"/>
      <c r="L19" s="237"/>
      <c r="M19" s="303"/>
      <c r="N19" s="141"/>
      <c r="O19" s="121"/>
      <c r="W19" s="210"/>
    </row>
    <row r="20" spans="1:23" x14ac:dyDescent="0.25">
      <c r="A20" s="121"/>
      <c r="B20" s="141"/>
      <c r="C20" s="163"/>
      <c r="D20" s="247"/>
      <c r="E20" s="708" t="s">
        <v>151</v>
      </c>
      <c r="F20" s="709"/>
      <c r="H20" s="248"/>
      <c r="I20" s="237"/>
      <c r="J20" s="237"/>
      <c r="K20" s="237"/>
      <c r="L20" s="237"/>
      <c r="M20" s="303"/>
      <c r="N20" s="141"/>
      <c r="O20" s="121"/>
    </row>
    <row r="21" spans="1:23" ht="15.75" thickBot="1" x14ac:dyDescent="0.3">
      <c r="A21" s="121"/>
      <c r="B21" s="141"/>
      <c r="C21" s="163"/>
      <c r="D21" s="247"/>
      <c r="E21" s="710" t="s">
        <v>152</v>
      </c>
      <c r="F21" s="533">
        <v>107</v>
      </c>
      <c r="H21" s="248"/>
      <c r="I21" s="237"/>
      <c r="J21" s="237"/>
      <c r="K21" s="237"/>
      <c r="L21" s="237"/>
      <c r="M21" s="303"/>
      <c r="N21" s="141"/>
      <c r="O21" s="121"/>
    </row>
    <row r="22" spans="1:23" ht="16.5" thickTop="1" thickBot="1" x14ac:dyDescent="0.3">
      <c r="A22" s="121"/>
      <c r="B22" s="141"/>
      <c r="C22" s="163"/>
      <c r="D22" s="247"/>
      <c r="E22" s="710" t="s">
        <v>153</v>
      </c>
      <c r="F22" s="534">
        <v>86</v>
      </c>
      <c r="H22" s="248"/>
      <c r="I22" s="237"/>
      <c r="J22" s="237"/>
      <c r="K22" s="237"/>
      <c r="L22" s="237"/>
      <c r="M22" s="303"/>
      <c r="N22" s="141"/>
      <c r="O22" s="121"/>
    </row>
    <row r="23" spans="1:23" ht="16.5" thickTop="1" thickBot="1" x14ac:dyDescent="0.3">
      <c r="A23" s="121"/>
      <c r="B23" s="141"/>
      <c r="C23" s="163"/>
      <c r="D23" s="247"/>
      <c r="E23" s="710" t="s">
        <v>154</v>
      </c>
      <c r="F23" s="534">
        <v>180</v>
      </c>
      <c r="H23" s="248"/>
      <c r="I23" s="237"/>
      <c r="J23" s="237"/>
      <c r="K23" s="237"/>
      <c r="L23" s="237"/>
      <c r="M23" s="303"/>
      <c r="N23" s="141"/>
      <c r="O23" s="121"/>
    </row>
    <row r="24" spans="1:23" ht="16.5" thickTop="1" thickBot="1" x14ac:dyDescent="0.3">
      <c r="A24" s="121"/>
      <c r="B24" s="141"/>
      <c r="C24" s="163"/>
      <c r="D24" s="247"/>
      <c r="E24" s="710" t="s">
        <v>155</v>
      </c>
      <c r="F24" s="534">
        <v>162</v>
      </c>
      <c r="H24" s="248"/>
      <c r="I24" s="237"/>
      <c r="J24" s="237"/>
      <c r="K24" s="237"/>
      <c r="L24" s="237"/>
      <c r="M24" s="303"/>
      <c r="N24" s="141"/>
      <c r="O24" s="121"/>
    </row>
    <row r="25" spans="1:23" ht="15.75" thickTop="1" x14ac:dyDescent="0.25">
      <c r="A25" s="121"/>
      <c r="B25" s="141"/>
      <c r="C25" s="163"/>
      <c r="D25" s="247"/>
      <c r="E25" s="710" t="s">
        <v>156</v>
      </c>
      <c r="F25" s="534">
        <v>144</v>
      </c>
      <c r="H25" s="248"/>
      <c r="I25" s="237"/>
      <c r="J25" s="237"/>
      <c r="K25" s="237"/>
      <c r="L25" s="237"/>
      <c r="M25" s="303"/>
      <c r="N25" s="141"/>
      <c r="O25" s="121"/>
    </row>
    <row r="26" spans="1:23" x14ac:dyDescent="0.25">
      <c r="A26" s="121"/>
      <c r="B26" s="141"/>
      <c r="C26" s="163"/>
      <c r="D26" s="247"/>
      <c r="E26" s="417" t="s">
        <v>157</v>
      </c>
      <c r="H26" s="248"/>
      <c r="I26" s="237"/>
      <c r="J26" s="237"/>
      <c r="K26" s="237"/>
      <c r="L26" s="237"/>
      <c r="M26" s="303"/>
      <c r="N26" s="141"/>
      <c r="O26" s="121"/>
    </row>
    <row r="27" spans="1:23" x14ac:dyDescent="0.25">
      <c r="A27" s="121"/>
      <c r="B27" s="141"/>
      <c r="C27" s="163"/>
      <c r="D27" s="247"/>
      <c r="H27" s="248"/>
      <c r="I27" s="237"/>
      <c r="J27" s="237"/>
      <c r="K27" s="237"/>
      <c r="L27" s="237"/>
      <c r="M27" s="303"/>
      <c r="N27" s="141"/>
      <c r="O27" s="121"/>
      <c r="Q27" s="391" t="s">
        <v>158</v>
      </c>
      <c r="R27" s="511" t="str">
        <f>IF(S32&amp;S35&amp;S28&amp;S29&amp;S30&amp;S33="","ja","nei")</f>
        <v>nei</v>
      </c>
      <c r="S27" s="391"/>
    </row>
    <row r="28" spans="1:23" ht="16.5" thickBot="1" x14ac:dyDescent="0.35">
      <c r="A28" s="121"/>
      <c r="B28" s="141"/>
      <c r="C28" s="163"/>
      <c r="D28" s="247"/>
      <c r="E28" s="373" t="s">
        <v>89</v>
      </c>
      <c r="F28" s="665" t="s">
        <v>129</v>
      </c>
      <c r="G28" s="250" t="s">
        <v>90</v>
      </c>
      <c r="H28" s="271"/>
      <c r="I28" s="237" t="str">
        <f>S28</f>
        <v xml:space="preserve">*obligatorisk </v>
      </c>
      <c r="J28" s="237"/>
      <c r="K28" s="237"/>
      <c r="L28" s="237"/>
      <c r="M28" s="303"/>
      <c r="N28" s="141"/>
      <c r="O28" s="121"/>
      <c r="Q28" s="234" t="str">
        <f>E28</f>
        <v>Tiltaksnavn</v>
      </c>
      <c r="R28" s="505"/>
      <c r="S28" s="251" t="str" cm="1">
        <f t="array" ref="S28">_xlfn.IFS(F28="",$R$9,F28=Innstillinger!$B$8,$R$9,TRUE,"")</f>
        <v xml:space="preserve">*obligatorisk </v>
      </c>
    </row>
    <row r="29" spans="1:23" ht="17.25" thickTop="1" thickBot="1" x14ac:dyDescent="0.35">
      <c r="A29" s="121"/>
      <c r="B29" s="141"/>
      <c r="C29" s="163"/>
      <c r="D29" s="247"/>
      <c r="E29" s="373" t="s">
        <v>159</v>
      </c>
      <c r="F29" s="653"/>
      <c r="G29" s="250" t="s">
        <v>90</v>
      </c>
      <c r="H29" s="271"/>
      <c r="I29" s="237" t="str">
        <f>S29</f>
        <v xml:space="preserve">*obligatorisk </v>
      </c>
      <c r="J29" s="237"/>
      <c r="K29" s="237"/>
      <c r="L29" s="237"/>
      <c r="M29" s="303"/>
      <c r="N29" s="141"/>
      <c r="O29" s="121"/>
      <c r="Q29" s="234" t="str">
        <f>E29</f>
        <v>Timesats</v>
      </c>
      <c r="R29" s="538">
        <f>F29</f>
        <v>0</v>
      </c>
      <c r="S29" s="251" t="str" cm="1">
        <f t="array" ref="S29">_xlfn.IFS(F29="",$R$9,TRUE,"")</f>
        <v xml:space="preserve">*obligatorisk </v>
      </c>
    </row>
    <row r="30" spans="1:23" ht="17.25" thickTop="1" thickBot="1" x14ac:dyDescent="0.35">
      <c r="A30" s="121"/>
      <c r="B30" s="141"/>
      <c r="C30" s="163"/>
      <c r="D30" s="247"/>
      <c r="E30" s="387" t="s">
        <v>160</v>
      </c>
      <c r="F30" s="667"/>
      <c r="G30" s="250" t="s">
        <v>90</v>
      </c>
      <c r="H30" s="271"/>
      <c r="I30" s="237" t="str">
        <f>S30</f>
        <v xml:space="preserve">*obligatorisk </v>
      </c>
      <c r="J30" s="237"/>
      <c r="K30" s="237"/>
      <c r="L30" s="237"/>
      <c r="M30" s="303"/>
      <c r="N30" s="141"/>
      <c r="O30" s="121"/>
      <c r="Q30" s="234" t="str">
        <f>E30</f>
        <v xml:space="preserve">Arbeidstimer totalt </v>
      </c>
      <c r="R30" s="538">
        <f>F30</f>
        <v>0</v>
      </c>
      <c r="S30" s="251" t="str" cm="1">
        <f t="array" ref="S30">_xlfn.IFS(F30="",$R$9,TRUE,"")</f>
        <v xml:space="preserve">*obligatorisk </v>
      </c>
    </row>
    <row r="31" spans="1:23" ht="8.1" customHeight="1" thickTop="1" x14ac:dyDescent="0.25">
      <c r="A31" s="121"/>
      <c r="B31" s="141"/>
      <c r="C31" s="163"/>
      <c r="D31" s="247"/>
      <c r="E31" s="208"/>
      <c r="F31" s="382"/>
      <c r="G31" s="281"/>
      <c r="H31" s="248"/>
      <c r="M31" s="166"/>
      <c r="N31" s="141"/>
      <c r="O31" s="121"/>
      <c r="Q31" s="391"/>
      <c r="R31" s="511"/>
      <c r="S31" s="391"/>
    </row>
    <row r="32" spans="1:23" ht="15.75" thickBot="1" x14ac:dyDescent="0.3">
      <c r="A32" s="121"/>
      <c r="B32" s="141"/>
      <c r="C32" s="163"/>
      <c r="D32" s="247"/>
      <c r="E32" s="373" t="s">
        <v>115</v>
      </c>
      <c r="F32" s="643" t="s">
        <v>129</v>
      </c>
      <c r="G32" s="374" t="s">
        <v>90</v>
      </c>
      <c r="H32" s="248"/>
      <c r="I32" s="237" t="str">
        <f t="shared" ref="I32:I35" si="0">S32</f>
        <v xml:space="preserve">*obligatorisk </v>
      </c>
      <c r="J32" s="237"/>
      <c r="M32" s="166"/>
      <c r="N32" s="141"/>
      <c r="O32" s="121"/>
      <c r="Q32" s="234" t="str">
        <f>E32</f>
        <v>sats feriepenger</v>
      </c>
      <c r="R32" s="540" t="str">
        <f>F32</f>
        <v>Velg fra liste….</v>
      </c>
      <c r="S32" s="251" t="str" cm="1">
        <f t="array" ref="S32">_xlfn.IFS(F32="",$R$9,F32=Innstillinger!$B$8,$R$9,TRUE,"")</f>
        <v xml:space="preserve">*obligatorisk </v>
      </c>
      <c r="T32" s="721">
        <v>0</v>
      </c>
    </row>
    <row r="33" spans="1:21" ht="16.5" thickTop="1" thickBot="1" x14ac:dyDescent="0.3">
      <c r="A33" s="121"/>
      <c r="B33" s="141"/>
      <c r="C33" s="163"/>
      <c r="D33" s="247"/>
      <c r="E33" s="373" t="s">
        <v>116</v>
      </c>
      <c r="F33" s="804">
        <v>0.11</v>
      </c>
      <c r="G33" s="374" t="s">
        <v>90</v>
      </c>
      <c r="H33" s="248"/>
      <c r="I33" s="237" t="str">
        <f t="shared" si="0"/>
        <v/>
      </c>
      <c r="J33" s="237"/>
      <c r="M33" s="166"/>
      <c r="N33" s="141"/>
      <c r="O33" s="121"/>
      <c r="P33" s="431"/>
      <c r="Q33" s="234" t="str">
        <f>E33</f>
        <v>sats pensjon</v>
      </c>
      <c r="R33" s="540">
        <f>MAXA(F33+F34,0%)</f>
        <v>0.09</v>
      </c>
      <c r="S33" s="251" t="str" cm="1">
        <f t="array" ref="S33">_xlfn.IFS(F33="",$R$9,F33=Innstillinger!$B$8,$R$9,TRUE,"")</f>
        <v/>
      </c>
      <c r="T33" s="721">
        <v>-0.02</v>
      </c>
    </row>
    <row r="34" spans="1:21" ht="16.5" thickTop="1" thickBot="1" x14ac:dyDescent="0.3">
      <c r="A34" s="121"/>
      <c r="B34" s="141"/>
      <c r="C34" s="163"/>
      <c r="D34" s="247"/>
      <c r="E34" s="413" t="s">
        <v>279</v>
      </c>
      <c r="F34" s="722">
        <v>-0.02</v>
      </c>
      <c r="G34" s="374" t="s">
        <v>90</v>
      </c>
      <c r="H34" s="248"/>
      <c r="I34" s="237" t="str">
        <f t="shared" si="0"/>
        <v/>
      </c>
      <c r="J34" s="237"/>
      <c r="M34" s="166"/>
      <c r="N34" s="141"/>
      <c r="O34" s="121"/>
      <c r="P34" s="431"/>
      <c r="Q34" s="234"/>
      <c r="R34" s="540"/>
      <c r="S34" s="251" t="str" cm="1">
        <f t="array" ref="S34">_xlfn.IFS(AND(F34=0%,F33=11%),$S$7,TRUE,"")</f>
        <v/>
      </c>
      <c r="T34" s="210" t="s">
        <v>129</v>
      </c>
    </row>
    <row r="35" spans="1:21" ht="15.75" thickTop="1" x14ac:dyDescent="0.25">
      <c r="A35" s="121"/>
      <c r="B35" s="141"/>
      <c r="C35" s="163"/>
      <c r="D35" s="247"/>
      <c r="E35" s="424" t="s">
        <v>117</v>
      </c>
      <c r="F35" s="644" t="s">
        <v>129</v>
      </c>
      <c r="G35" s="374" t="s">
        <v>90</v>
      </c>
      <c r="H35" s="248"/>
      <c r="I35" s="237" t="str">
        <f t="shared" si="0"/>
        <v xml:space="preserve">*obligatorisk </v>
      </c>
      <c r="J35" s="237"/>
      <c r="M35" s="166"/>
      <c r="N35" s="141"/>
      <c r="O35" s="121"/>
      <c r="P35" s="431"/>
      <c r="Q35" s="234" t="str">
        <f>E35</f>
        <v>sats arbeidsgiveravgift</v>
      </c>
      <c r="R35" s="540" t="str">
        <f t="shared" ref="R35" si="1">F35</f>
        <v>Velg fra liste….</v>
      </c>
      <c r="S35" s="251" t="str" cm="1">
        <f t="array" ref="S35">_xlfn.IFS(F35="",$R$9,F35=Innstillinger!$B$8,$R$9,TRUE,"")</f>
        <v xml:space="preserve">*obligatorisk </v>
      </c>
      <c r="T35" s="721">
        <v>0.11</v>
      </c>
    </row>
    <row r="36" spans="1:21" x14ac:dyDescent="0.25">
      <c r="A36" s="121"/>
      <c r="B36" s="141"/>
      <c r="C36" s="163"/>
      <c r="D36" s="247"/>
      <c r="E36" s="208"/>
      <c r="F36" s="281"/>
      <c r="G36" s="281"/>
      <c r="H36" s="248"/>
      <c r="M36" s="166"/>
      <c r="N36" s="141"/>
      <c r="O36" s="121"/>
      <c r="P36" s="431"/>
      <c r="Q36" s="391"/>
      <c r="R36" s="511"/>
      <c r="S36" s="391"/>
      <c r="T36" s="721">
        <v>0</v>
      </c>
    </row>
    <row r="37" spans="1:21" ht="18.75" x14ac:dyDescent="0.25">
      <c r="A37" s="121"/>
      <c r="B37" s="141"/>
      <c r="C37" s="163"/>
      <c r="D37" s="541"/>
      <c r="E37" s="284" t="s">
        <v>125</v>
      </c>
      <c r="F37" s="285" t="str">
        <f>R37</f>
        <v/>
      </c>
      <c r="G37" s="286"/>
      <c r="H37" s="542"/>
      <c r="I37" s="408"/>
      <c r="J37" s="408"/>
      <c r="K37" s="236"/>
      <c r="L37" s="236"/>
      <c r="M37" s="166"/>
      <c r="N37" s="141"/>
      <c r="O37" s="121"/>
      <c r="Q37" s="253"/>
      <c r="R37" s="505" t="str">
        <f>IF(R27="ja",(R30*R29)*(1+R32+R33+(R32*R33))*(1+R35),"")</f>
        <v/>
      </c>
      <c r="S37" s="537"/>
    </row>
    <row r="38" spans="1:21" ht="8.1" customHeight="1" x14ac:dyDescent="0.25">
      <c r="A38" s="121"/>
      <c r="B38" s="141"/>
      <c r="C38" s="163"/>
      <c r="D38" s="256"/>
      <c r="E38" s="288"/>
      <c r="F38" s="288"/>
      <c r="G38" s="288"/>
      <c r="H38" s="289"/>
      <c r="I38" s="408"/>
      <c r="J38" s="408"/>
      <c r="K38" s="236"/>
      <c r="L38" s="236"/>
      <c r="M38" s="166"/>
      <c r="N38" s="141"/>
      <c r="O38" s="121"/>
      <c r="Q38" s="234"/>
      <c r="R38" s="538"/>
      <c r="S38" s="234"/>
    </row>
    <row r="39" spans="1:21" ht="8.1" customHeight="1" x14ac:dyDescent="0.25">
      <c r="A39" s="121"/>
      <c r="B39" s="141"/>
      <c r="C39" s="163"/>
      <c r="D39" s="164"/>
      <c r="E39" s="236"/>
      <c r="F39" s="236"/>
      <c r="G39" s="236"/>
      <c r="H39" s="236"/>
      <c r="I39" s="408"/>
      <c r="J39" s="408"/>
      <c r="K39" s="236"/>
      <c r="L39" s="236"/>
      <c r="M39" s="166"/>
      <c r="N39" s="141"/>
      <c r="O39" s="121"/>
      <c r="R39" s="561"/>
    </row>
    <row r="40" spans="1:21" ht="8.1" customHeight="1" x14ac:dyDescent="0.25">
      <c r="A40" s="121"/>
      <c r="B40" s="141"/>
      <c r="C40" s="163"/>
      <c r="D40" s="164"/>
      <c r="E40" s="236"/>
      <c r="F40" s="236"/>
      <c r="G40" s="236"/>
      <c r="H40" s="236"/>
      <c r="I40" s="237"/>
      <c r="J40" s="237"/>
      <c r="K40" s="237"/>
      <c r="L40" s="237"/>
      <c r="M40" s="303"/>
      <c r="N40" s="141"/>
      <c r="O40" s="121"/>
    </row>
    <row r="41" spans="1:21" x14ac:dyDescent="0.25">
      <c r="A41" s="121"/>
      <c r="B41" s="141"/>
      <c r="C41" s="163"/>
      <c r="D41" s="452"/>
      <c r="E41" s="81" t="str">
        <f>IF(E42="","Skriv kommentar:","")</f>
        <v>Skriv kommentar:</v>
      </c>
      <c r="F41" s="81"/>
      <c r="G41" s="81"/>
      <c r="H41" s="82"/>
      <c r="I41" s="465"/>
      <c r="J41" s="465"/>
      <c r="M41" s="166"/>
      <c r="N41" s="141"/>
      <c r="O41" s="121"/>
      <c r="Q41" s="557"/>
      <c r="R41" s="558"/>
      <c r="S41" s="232"/>
    </row>
    <row r="42" spans="1:21" x14ac:dyDescent="0.25">
      <c r="A42" s="121"/>
      <c r="B42" s="141"/>
      <c r="C42" s="163"/>
      <c r="D42" s="454"/>
      <c r="E42" s="753"/>
      <c r="F42" s="753"/>
      <c r="G42" s="753"/>
      <c r="H42" s="455"/>
      <c r="I42" s="465"/>
      <c r="J42" s="465"/>
      <c r="M42" s="166"/>
      <c r="N42" s="141"/>
      <c r="O42" s="121"/>
      <c r="Q42" s="340"/>
      <c r="R42" s="558"/>
      <c r="S42" s="232"/>
    </row>
    <row r="43" spans="1:21" x14ac:dyDescent="0.25">
      <c r="A43" s="121"/>
      <c r="B43" s="141"/>
      <c r="C43" s="163"/>
      <c r="D43" s="454"/>
      <c r="E43" s="753"/>
      <c r="F43" s="753"/>
      <c r="G43" s="753"/>
      <c r="H43" s="455"/>
      <c r="I43" s="465"/>
      <c r="J43" s="465"/>
      <c r="M43" s="166"/>
      <c r="N43" s="141"/>
      <c r="O43" s="121"/>
      <c r="U43" s="232"/>
    </row>
    <row r="44" spans="1:21" x14ac:dyDescent="0.25">
      <c r="A44" s="121"/>
      <c r="B44" s="141"/>
      <c r="C44" s="163"/>
      <c r="D44" s="454"/>
      <c r="E44" s="753"/>
      <c r="F44" s="753"/>
      <c r="G44" s="753"/>
      <c r="H44" s="455"/>
      <c r="I44" s="465"/>
      <c r="J44" s="465"/>
      <c r="M44" s="166"/>
      <c r="N44" s="141"/>
      <c r="O44" s="121"/>
      <c r="U44" s="232"/>
    </row>
    <row r="45" spans="1:21" x14ac:dyDescent="0.25">
      <c r="A45" s="121"/>
      <c r="B45" s="141"/>
      <c r="C45" s="163"/>
      <c r="D45" s="454"/>
      <c r="E45" s="753"/>
      <c r="F45" s="753"/>
      <c r="G45" s="753"/>
      <c r="H45" s="455"/>
      <c r="I45" s="465"/>
      <c r="J45" s="465"/>
      <c r="M45" s="166"/>
      <c r="N45" s="141"/>
      <c r="O45" s="121"/>
      <c r="R45" s="291"/>
      <c r="S45" s="559"/>
      <c r="T45" s="559"/>
    </row>
    <row r="46" spans="1:21" x14ac:dyDescent="0.25">
      <c r="A46" s="121"/>
      <c r="B46" s="141"/>
      <c r="C46" s="163"/>
      <c r="D46" s="458"/>
      <c r="E46" s="754"/>
      <c r="F46" s="754"/>
      <c r="G46" s="754"/>
      <c r="H46" s="459"/>
      <c r="I46" s="465"/>
      <c r="J46" s="465"/>
      <c r="M46" s="166"/>
      <c r="N46" s="141"/>
      <c r="O46" s="121"/>
      <c r="R46" s="291"/>
      <c r="S46" s="232"/>
      <c r="T46" s="232"/>
    </row>
    <row r="47" spans="1:21" x14ac:dyDescent="0.25">
      <c r="A47" s="121"/>
      <c r="B47" s="141"/>
      <c r="C47" s="304"/>
      <c r="D47" s="305"/>
      <c r="E47" s="306"/>
      <c r="F47" s="306"/>
      <c r="G47" s="306"/>
      <c r="H47" s="306"/>
      <c r="I47" s="307"/>
      <c r="J47" s="307"/>
      <c r="K47" s="307"/>
      <c r="L47" s="307"/>
      <c r="M47" s="308"/>
      <c r="N47" s="141"/>
      <c r="O47" s="121"/>
      <c r="R47" s="291"/>
      <c r="S47" s="232"/>
      <c r="T47" s="232"/>
      <c r="U47" s="340"/>
    </row>
    <row r="48" spans="1:21" ht="15" customHeight="1" x14ac:dyDescent="0.25">
      <c r="A48" s="121"/>
      <c r="B48" s="141"/>
      <c r="C48" s="141"/>
      <c r="D48" s="141"/>
      <c r="E48" s="141"/>
      <c r="F48" s="141"/>
      <c r="G48" s="141"/>
      <c r="H48" s="141"/>
      <c r="I48" s="613"/>
      <c r="J48" s="613"/>
      <c r="K48" s="141"/>
      <c r="L48" s="141"/>
      <c r="M48" s="141"/>
      <c r="N48" s="141"/>
      <c r="O48" s="121"/>
      <c r="Q48" s="214"/>
      <c r="R48" s="291"/>
      <c r="S48" s="291"/>
      <c r="T48" s="291"/>
    </row>
    <row r="49" spans="1:22" ht="6" customHeight="1" x14ac:dyDescent="0.25">
      <c r="A49" s="121"/>
      <c r="B49" s="124"/>
      <c r="C49" s="124"/>
      <c r="D49" s="124"/>
      <c r="E49" s="124"/>
      <c r="F49" s="124"/>
      <c r="G49" s="124"/>
      <c r="H49" s="124"/>
      <c r="I49" s="124"/>
      <c r="J49" s="124"/>
      <c r="K49" s="124"/>
      <c r="L49" s="124"/>
      <c r="M49" s="124"/>
      <c r="N49" s="121"/>
      <c r="O49" s="121"/>
      <c r="Q49" s="127"/>
      <c r="R49" s="127"/>
      <c r="S49" s="127"/>
      <c r="T49" s="127"/>
      <c r="U49" s="127"/>
      <c r="V49" s="127"/>
    </row>
    <row r="50" spans="1:22" ht="15" customHeight="1" x14ac:dyDescent="0.25">
      <c r="A50" s="121"/>
      <c r="B50" s="141"/>
      <c r="C50" s="141"/>
      <c r="D50" s="141"/>
      <c r="E50" s="141"/>
      <c r="F50" s="141"/>
      <c r="G50" s="141"/>
      <c r="H50" s="141"/>
      <c r="I50" s="613"/>
      <c r="J50" s="613"/>
      <c r="K50" s="141"/>
      <c r="L50" s="141"/>
      <c r="M50" s="141"/>
      <c r="N50" s="141"/>
      <c r="O50" s="121"/>
      <c r="Q50" s="127"/>
      <c r="R50" s="127"/>
      <c r="S50" s="127"/>
      <c r="T50" s="127"/>
      <c r="U50" s="127"/>
      <c r="V50" s="127"/>
    </row>
    <row r="51" spans="1:22" x14ac:dyDescent="0.25">
      <c r="A51" s="121"/>
      <c r="B51" s="141"/>
      <c r="C51" s="310"/>
      <c r="D51" s="311"/>
      <c r="E51" s="312"/>
      <c r="F51" s="312"/>
      <c r="G51" s="312"/>
      <c r="H51" s="312"/>
      <c r="I51" s="313"/>
      <c r="J51" s="313"/>
      <c r="K51" s="313"/>
      <c r="L51" s="313"/>
      <c r="M51" s="314"/>
      <c r="N51" s="141"/>
      <c r="O51" s="121"/>
      <c r="Q51" s="127"/>
      <c r="R51" s="127"/>
      <c r="S51" s="127"/>
      <c r="T51" s="127"/>
      <c r="U51" s="127"/>
      <c r="V51" s="127"/>
    </row>
    <row r="52" spans="1:22" ht="21" x14ac:dyDescent="0.35">
      <c r="A52" s="121"/>
      <c r="B52" s="141"/>
      <c r="C52" s="163"/>
      <c r="D52" s="164"/>
      <c r="E52" s="238" t="s">
        <v>161</v>
      </c>
      <c r="F52" s="208"/>
      <c r="G52" s="208"/>
      <c r="M52" s="166"/>
      <c r="N52" s="141"/>
      <c r="O52" s="121"/>
      <c r="Q52" s="127"/>
      <c r="R52" s="127"/>
      <c r="S52" s="127"/>
      <c r="T52" s="127"/>
      <c r="U52" s="127"/>
      <c r="V52" s="127"/>
    </row>
    <row r="53" spans="1:22" ht="8.1" customHeight="1" x14ac:dyDescent="0.25">
      <c r="A53" s="121"/>
      <c r="B53" s="141"/>
      <c r="C53" s="163"/>
      <c r="D53" s="164"/>
      <c r="E53" s="236"/>
      <c r="F53" s="236"/>
      <c r="G53" s="236"/>
      <c r="H53" s="236"/>
      <c r="I53" s="237"/>
      <c r="J53" s="237"/>
      <c r="K53" s="237"/>
      <c r="L53" s="237"/>
      <c r="M53" s="303"/>
      <c r="N53" s="141"/>
      <c r="O53" s="121"/>
    </row>
    <row r="54" spans="1:22" x14ac:dyDescent="0.25">
      <c r="A54" s="121"/>
      <c r="B54" s="141"/>
      <c r="C54" s="163"/>
      <c r="D54" s="241"/>
      <c r="E54" s="264"/>
      <c r="F54" s="264"/>
      <c r="G54" s="264"/>
      <c r="H54" s="244"/>
      <c r="I54" s="237"/>
      <c r="J54" s="237"/>
      <c r="K54" s="237"/>
      <c r="L54" s="237"/>
      <c r="M54" s="303"/>
      <c r="N54" s="141"/>
      <c r="O54" s="121"/>
      <c r="Q54" s="535" t="s">
        <v>158</v>
      </c>
      <c r="R54" s="536" t="str">
        <f>IF(S57&amp;S55&amp;S56="","ja","nei")</f>
        <v>nei</v>
      </c>
      <c r="S54" s="537"/>
    </row>
    <row r="55" spans="1:22" ht="16.5" thickBot="1" x14ac:dyDescent="0.35">
      <c r="A55" s="121"/>
      <c r="B55" s="141"/>
      <c r="C55" s="163"/>
      <c r="D55" s="247"/>
      <c r="E55" s="249" t="s">
        <v>162</v>
      </c>
      <c r="F55" s="653"/>
      <c r="G55" s="250" t="s">
        <v>90</v>
      </c>
      <c r="H55" s="271"/>
      <c r="I55" s="237" t="str">
        <f t="shared" ref="I55:I57" si="2">S55</f>
        <v xml:space="preserve">*obligatorisk </v>
      </c>
      <c r="J55" s="237"/>
      <c r="K55" s="237"/>
      <c r="L55" s="237"/>
      <c r="M55" s="303"/>
      <c r="N55" s="141"/>
      <c r="O55" s="121"/>
      <c r="Q55" s="234" t="str">
        <f>E55</f>
        <v>timesats i vedtaket</v>
      </c>
      <c r="R55" s="538">
        <f>F55</f>
        <v>0</v>
      </c>
      <c r="S55" s="251" t="str" cm="1">
        <f t="array" ref="S55">_xlfn.IFS(F55="",$R$9,TRUE,"")</f>
        <v xml:space="preserve">*obligatorisk </v>
      </c>
    </row>
    <row r="56" spans="1:22" ht="17.25" thickTop="1" thickBot="1" x14ac:dyDescent="0.35">
      <c r="A56" s="121"/>
      <c r="B56" s="141"/>
      <c r="C56" s="163"/>
      <c r="D56" s="247"/>
      <c r="E56" s="486" t="s">
        <v>95</v>
      </c>
      <c r="F56" s="668"/>
      <c r="G56" s="250" t="s">
        <v>90</v>
      </c>
      <c r="H56" s="271"/>
      <c r="I56" s="237" t="str">
        <f t="shared" si="2"/>
        <v xml:space="preserve">*obligatorisk </v>
      </c>
      <c r="J56" s="237"/>
      <c r="K56" s="237"/>
      <c r="L56" s="237"/>
      <c r="M56" s="303"/>
      <c r="N56" s="141"/>
      <c r="O56" s="121"/>
      <c r="Q56" s="234" t="str">
        <f>E56</f>
        <v xml:space="preserve">arbeidstimer totalt </v>
      </c>
      <c r="R56" s="538">
        <f>F56</f>
        <v>0</v>
      </c>
      <c r="S56" s="251" t="str" cm="1">
        <f t="array" ref="S56">_xlfn.IFS(F56="",$R$9,TRUE,"")</f>
        <v xml:space="preserve">*obligatorisk </v>
      </c>
    </row>
    <row r="57" spans="1:22" ht="15.75" thickTop="1" x14ac:dyDescent="0.25">
      <c r="A57" s="121"/>
      <c r="B57" s="141"/>
      <c r="C57" s="163"/>
      <c r="D57" s="247"/>
      <c r="E57" s="701" t="s">
        <v>117</v>
      </c>
      <c r="F57" s="644" t="s">
        <v>129</v>
      </c>
      <c r="G57" s="374" t="s">
        <v>90</v>
      </c>
      <c r="H57" s="271"/>
      <c r="I57" s="237" t="str">
        <f t="shared" si="2"/>
        <v xml:space="preserve">*obligatorisk </v>
      </c>
      <c r="J57" s="237"/>
      <c r="K57" s="237"/>
      <c r="L57" s="237"/>
      <c r="M57" s="303"/>
      <c r="N57" s="141"/>
      <c r="O57" s="121"/>
      <c r="Q57" s="234" t="str">
        <f t="shared" ref="Q57" si="3">E57</f>
        <v>sats arbeidsgiveravgift</v>
      </c>
      <c r="R57" s="562" t="str">
        <f>F57</f>
        <v>Velg fra liste….</v>
      </c>
      <c r="S57" s="251" t="str" cm="1">
        <f t="array" ref="S57">_xlfn.IFS(F57="",$R$9,F57=Innstillinger!$B$8,$R$9,TRUE,"")</f>
        <v xml:space="preserve">*obligatorisk </v>
      </c>
    </row>
    <row r="58" spans="1:22" x14ac:dyDescent="0.25">
      <c r="A58" s="121"/>
      <c r="B58" s="141"/>
      <c r="C58" s="163"/>
      <c r="D58" s="247"/>
      <c r="E58" s="417" t="s">
        <v>118</v>
      </c>
      <c r="F58" s="418"/>
      <c r="G58" s="419"/>
      <c r="H58" s="380"/>
      <c r="I58" s="386"/>
      <c r="J58" s="386"/>
      <c r="K58" s="407"/>
      <c r="L58" s="407"/>
      <c r="M58" s="702"/>
      <c r="N58" s="141"/>
      <c r="O58" s="121"/>
      <c r="Q58" s="234"/>
      <c r="R58" s="538"/>
      <c r="S58" s="251"/>
    </row>
    <row r="59" spans="1:22" ht="5.25" customHeight="1" x14ac:dyDescent="0.25">
      <c r="A59" s="121"/>
      <c r="B59" s="141"/>
      <c r="C59" s="163"/>
      <c r="D59" s="247"/>
      <c r="E59" s="208"/>
      <c r="F59" s="281"/>
      <c r="G59" s="281"/>
      <c r="H59" s="248"/>
      <c r="M59" s="166"/>
      <c r="N59" s="141"/>
      <c r="O59" s="121"/>
      <c r="Q59" s="234"/>
      <c r="R59" s="538"/>
      <c r="S59" s="251"/>
    </row>
    <row r="60" spans="1:22" ht="18.75" x14ac:dyDescent="0.25">
      <c r="A60" s="121"/>
      <c r="B60" s="141"/>
      <c r="C60" s="163"/>
      <c r="D60" s="283"/>
      <c r="E60" s="284" t="s">
        <v>125</v>
      </c>
      <c r="F60" s="285" t="str">
        <f>R60</f>
        <v xml:space="preserve"> </v>
      </c>
      <c r="G60" s="286"/>
      <c r="H60" s="287"/>
      <c r="I60" s="408"/>
      <c r="J60" s="408"/>
      <c r="K60" s="236"/>
      <c r="L60" s="236"/>
      <c r="M60" s="166"/>
      <c r="N60" s="141"/>
      <c r="O60" s="121"/>
      <c r="Q60" s="537"/>
      <c r="R60" s="539" t="str">
        <f>IF(R54="ja",(R55*R56)*(1+R57)," ")</f>
        <v xml:space="preserve"> </v>
      </c>
      <c r="S60" s="537"/>
    </row>
    <row r="61" spans="1:22" ht="8.1" customHeight="1" x14ac:dyDescent="0.25">
      <c r="A61" s="121"/>
      <c r="B61" s="141"/>
      <c r="C61" s="163"/>
      <c r="D61" s="256"/>
      <c r="E61" s="288"/>
      <c r="F61" s="288"/>
      <c r="G61" s="288"/>
      <c r="H61" s="289"/>
      <c r="I61" s="408"/>
      <c r="J61" s="408"/>
      <c r="K61" s="236"/>
      <c r="L61" s="236"/>
      <c r="M61" s="166"/>
      <c r="N61" s="141"/>
      <c r="O61" s="121"/>
      <c r="Q61" s="537"/>
      <c r="R61" s="539"/>
      <c r="S61" s="537"/>
    </row>
    <row r="62" spans="1:22" ht="8.1" customHeight="1" x14ac:dyDescent="0.25">
      <c r="A62" s="121"/>
      <c r="B62" s="141"/>
      <c r="C62" s="163"/>
      <c r="D62" s="164"/>
      <c r="E62" s="236"/>
      <c r="F62" s="236"/>
      <c r="G62" s="236"/>
      <c r="H62" s="236"/>
      <c r="I62" s="237"/>
      <c r="J62" s="237"/>
      <c r="K62" s="237"/>
      <c r="L62" s="237"/>
      <c r="M62" s="303"/>
      <c r="N62" s="141"/>
      <c r="O62" s="121"/>
    </row>
    <row r="63" spans="1:22" x14ac:dyDescent="0.25">
      <c r="A63" s="121"/>
      <c r="B63" s="141"/>
      <c r="C63" s="163"/>
      <c r="D63" s="452"/>
      <c r="E63" s="81" t="str">
        <f>IF(E64="","Skriv kommentar:","")</f>
        <v>Skriv kommentar:</v>
      </c>
      <c r="F63" s="81"/>
      <c r="G63" s="81"/>
      <c r="H63" s="82"/>
      <c r="I63" s="465"/>
      <c r="J63" s="465"/>
      <c r="M63" s="166"/>
      <c r="N63" s="141"/>
      <c r="O63" s="121"/>
      <c r="Q63" s="557"/>
      <c r="R63" s="558"/>
      <c r="S63" s="232"/>
    </row>
    <row r="64" spans="1:22" x14ac:dyDescent="0.25">
      <c r="A64" s="121"/>
      <c r="B64" s="141"/>
      <c r="C64" s="163"/>
      <c r="D64" s="454"/>
      <c r="E64" s="753"/>
      <c r="F64" s="753"/>
      <c r="G64" s="753"/>
      <c r="H64" s="455"/>
      <c r="I64" s="465"/>
      <c r="J64" s="465"/>
      <c r="M64" s="166"/>
      <c r="N64" s="141"/>
      <c r="O64" s="121"/>
      <c r="Q64" s="340"/>
      <c r="R64" s="558"/>
      <c r="S64" s="232"/>
    </row>
    <row r="65" spans="1:22" x14ac:dyDescent="0.25">
      <c r="A65" s="121"/>
      <c r="B65" s="141"/>
      <c r="C65" s="163"/>
      <c r="D65" s="454"/>
      <c r="E65" s="753"/>
      <c r="F65" s="753"/>
      <c r="G65" s="753"/>
      <c r="H65" s="455"/>
      <c r="I65" s="465"/>
      <c r="J65" s="465"/>
      <c r="M65" s="166"/>
      <c r="N65" s="141"/>
      <c r="O65" s="121"/>
      <c r="U65" s="232"/>
    </row>
    <row r="66" spans="1:22" x14ac:dyDescent="0.25">
      <c r="A66" s="121"/>
      <c r="B66" s="141"/>
      <c r="C66" s="163"/>
      <c r="D66" s="454"/>
      <c r="E66" s="753"/>
      <c r="F66" s="753"/>
      <c r="G66" s="753"/>
      <c r="H66" s="455"/>
      <c r="I66" s="465"/>
      <c r="J66" s="465"/>
      <c r="M66" s="166"/>
      <c r="N66" s="141"/>
      <c r="O66" s="121"/>
      <c r="U66" s="232"/>
    </row>
    <row r="67" spans="1:22" x14ac:dyDescent="0.25">
      <c r="A67" s="121"/>
      <c r="B67" s="141"/>
      <c r="C67" s="163"/>
      <c r="D67" s="454"/>
      <c r="E67" s="753"/>
      <c r="F67" s="753"/>
      <c r="G67" s="753"/>
      <c r="H67" s="455"/>
      <c r="I67" s="465"/>
      <c r="J67" s="465"/>
      <c r="M67" s="166"/>
      <c r="N67" s="141"/>
      <c r="O67" s="121"/>
      <c r="R67" s="291"/>
      <c r="S67" s="559"/>
      <c r="T67" s="559"/>
    </row>
    <row r="68" spans="1:22" x14ac:dyDescent="0.25">
      <c r="A68" s="121"/>
      <c r="B68" s="141"/>
      <c r="C68" s="163"/>
      <c r="D68" s="458"/>
      <c r="E68" s="754"/>
      <c r="F68" s="754"/>
      <c r="G68" s="754"/>
      <c r="H68" s="459"/>
      <c r="I68" s="465"/>
      <c r="J68" s="465"/>
      <c r="M68" s="166"/>
      <c r="N68" s="141"/>
      <c r="O68" s="121"/>
      <c r="R68" s="291"/>
      <c r="S68" s="232"/>
      <c r="T68" s="232"/>
    </row>
    <row r="69" spans="1:22" customFormat="1" ht="8.1" customHeight="1" x14ac:dyDescent="0.25">
      <c r="A69" s="121"/>
      <c r="B69" s="141"/>
      <c r="C69" s="163"/>
      <c r="D69" s="460"/>
      <c r="E69" s="461"/>
      <c r="F69" s="461"/>
      <c r="G69" s="461"/>
      <c r="H69" s="460"/>
      <c r="I69" s="444"/>
      <c r="J69" s="444"/>
      <c r="K69" s="462"/>
      <c r="L69" s="462"/>
      <c r="M69" s="303"/>
      <c r="N69" s="141"/>
      <c r="O69" s="121"/>
      <c r="P69" s="127"/>
      <c r="Q69" s="127"/>
      <c r="R69" s="210"/>
      <c r="S69" s="210"/>
      <c r="T69" s="210"/>
      <c r="U69" s="210"/>
      <c r="V69" s="210"/>
    </row>
    <row r="70" spans="1:22" customFormat="1" x14ac:dyDescent="0.25">
      <c r="A70" s="121"/>
      <c r="B70" s="141"/>
      <c r="C70" s="163"/>
      <c r="D70" s="574"/>
      <c r="E70" s="574"/>
      <c r="F70" s="574"/>
      <c r="G70" s="574"/>
      <c r="H70" s="574"/>
      <c r="I70" s="444"/>
      <c r="J70" s="444"/>
      <c r="K70" s="462"/>
      <c r="L70" s="462"/>
      <c r="M70" s="303"/>
      <c r="N70" s="141"/>
      <c r="O70" s="121"/>
      <c r="P70" s="127"/>
      <c r="Q70" s="127"/>
      <c r="R70" s="210"/>
      <c r="S70" s="210"/>
      <c r="T70" s="210"/>
      <c r="U70" s="210"/>
      <c r="V70" s="210"/>
    </row>
    <row r="71" spans="1:22" customFormat="1" x14ac:dyDescent="0.25">
      <c r="A71" s="121"/>
      <c r="B71" s="141"/>
      <c r="C71" s="163"/>
      <c r="D71" s="740" t="s">
        <v>287</v>
      </c>
      <c r="E71" s="741"/>
      <c r="F71" s="741"/>
      <c r="G71" s="741"/>
      <c r="H71" s="741"/>
      <c r="I71" s="737" t="s">
        <v>288</v>
      </c>
      <c r="J71" s="737"/>
      <c r="K71" s="617" t="s">
        <v>289</v>
      </c>
      <c r="L71" s="618"/>
      <c r="M71" s="303"/>
      <c r="N71" s="141"/>
      <c r="O71" s="121"/>
      <c r="P71" s="127"/>
      <c r="Q71" s="127"/>
      <c r="R71" s="210"/>
      <c r="S71" s="210"/>
      <c r="T71" s="210"/>
      <c r="U71" s="210"/>
      <c r="V71" s="210"/>
    </row>
    <row r="72" spans="1:22" customFormat="1" ht="38.25" customHeight="1" x14ac:dyDescent="0.25">
      <c r="A72" s="121"/>
      <c r="B72" s="141"/>
      <c r="C72" s="163"/>
      <c r="D72" s="619"/>
      <c r="E72" s="742"/>
      <c r="F72" s="742"/>
      <c r="G72" s="742"/>
      <c r="H72" s="743"/>
      <c r="I72" s="762"/>
      <c r="J72" s="763"/>
      <c r="K72" s="715"/>
      <c r="L72" s="700"/>
      <c r="M72" s="303"/>
      <c r="N72" s="141"/>
      <c r="O72" s="121"/>
      <c r="P72" s="127"/>
      <c r="Q72" s="127"/>
      <c r="R72" s="210"/>
      <c r="S72" s="210"/>
      <c r="T72" s="210"/>
      <c r="U72" s="210"/>
      <c r="V72" s="210"/>
    </row>
    <row r="73" spans="1:22" customFormat="1" x14ac:dyDescent="0.25">
      <c r="A73" s="121"/>
      <c r="B73" s="141"/>
      <c r="C73" s="304"/>
      <c r="D73" s="703"/>
      <c r="E73" s="704"/>
      <c r="F73" s="704"/>
      <c r="G73" s="704"/>
      <c r="H73" s="703"/>
      <c r="I73" s="705"/>
      <c r="J73" s="705"/>
      <c r="K73" s="706"/>
      <c r="L73" s="706"/>
      <c r="M73" s="308"/>
      <c r="N73" s="141"/>
      <c r="O73" s="121"/>
      <c r="P73" s="127"/>
      <c r="Q73" s="127"/>
      <c r="R73" s="210"/>
      <c r="S73" s="210"/>
      <c r="T73" s="210"/>
      <c r="U73" s="210"/>
      <c r="V73" s="210"/>
    </row>
    <row r="74" spans="1:22" ht="15" customHeight="1" x14ac:dyDescent="0.25">
      <c r="A74" s="121"/>
      <c r="B74" s="141"/>
      <c r="C74" s="141"/>
      <c r="D74" s="141"/>
      <c r="E74" s="141"/>
      <c r="F74" s="141"/>
      <c r="G74" s="141"/>
      <c r="H74" s="141"/>
      <c r="I74" s="613"/>
      <c r="J74" s="613"/>
      <c r="K74" s="141"/>
      <c r="L74" s="141"/>
      <c r="M74" s="141"/>
      <c r="N74" s="141"/>
      <c r="O74" s="121"/>
      <c r="Q74" s="214"/>
      <c r="R74" s="291"/>
      <c r="S74" s="291"/>
      <c r="T74" s="291"/>
    </row>
    <row r="75" spans="1:22" ht="6" customHeight="1" x14ac:dyDescent="0.25">
      <c r="A75" s="121"/>
      <c r="B75" s="124"/>
      <c r="C75" s="124"/>
      <c r="D75" s="124"/>
      <c r="E75" s="124"/>
      <c r="F75" s="124"/>
      <c r="G75" s="124"/>
      <c r="H75" s="124"/>
      <c r="I75" s="124"/>
      <c r="J75" s="124"/>
      <c r="K75" s="124"/>
      <c r="L75" s="124"/>
      <c r="M75" s="124"/>
      <c r="N75" s="121"/>
      <c r="O75" s="121"/>
    </row>
    <row r="76" spans="1:22" ht="6" hidden="1" customHeight="1" x14ac:dyDescent="0.25">
      <c r="A76" s="121"/>
      <c r="B76" s="124"/>
      <c r="C76" s="124"/>
      <c r="D76" s="124"/>
      <c r="E76" s="124"/>
      <c r="F76" s="124"/>
      <c r="G76" s="124"/>
      <c r="H76" s="124"/>
      <c r="I76" s="124"/>
      <c r="J76" s="124"/>
      <c r="K76" s="124"/>
      <c r="L76" s="124"/>
      <c r="M76" s="124"/>
      <c r="N76" s="121"/>
      <c r="O76" s="121"/>
    </row>
    <row r="77" spans="1:22" ht="15" customHeight="1" x14ac:dyDescent="0.25">
      <c r="A77" s="121"/>
      <c r="B77" s="141"/>
      <c r="C77" s="141"/>
      <c r="D77" s="141"/>
      <c r="E77" s="141"/>
      <c r="F77" s="141"/>
      <c r="G77" s="141"/>
      <c r="H77" s="141"/>
      <c r="I77" s="613"/>
      <c r="J77" s="613"/>
      <c r="K77" s="141"/>
      <c r="L77" s="141"/>
      <c r="M77" s="141"/>
      <c r="N77" s="141"/>
      <c r="O77" s="121"/>
      <c r="Q77" s="234" t="s">
        <v>163</v>
      </c>
      <c r="R77" s="543">
        <v>7</v>
      </c>
    </row>
    <row r="78" spans="1:22" x14ac:dyDescent="0.25">
      <c r="A78" s="121"/>
      <c r="B78" s="141"/>
      <c r="C78" s="310"/>
      <c r="D78" s="311"/>
      <c r="E78" s="312"/>
      <c r="F78" s="312"/>
      <c r="G78" s="312"/>
      <c r="H78" s="312"/>
      <c r="I78" s="313"/>
      <c r="J78" s="313"/>
      <c r="K78" s="313"/>
      <c r="L78" s="313"/>
      <c r="M78" s="314"/>
      <c r="N78" s="141"/>
      <c r="O78" s="121"/>
      <c r="Q78" s="234" t="s">
        <v>164</v>
      </c>
      <c r="R78" s="544" t="str" cm="1">
        <f t="array" ref="R78">_xlfn.IFS(OR(F84="",F85=""),"",T84=T85,"JA",TRUE,"Nei")</f>
        <v/>
      </c>
    </row>
    <row r="79" spans="1:22" ht="21" x14ac:dyDescent="0.35">
      <c r="A79" s="121"/>
      <c r="B79" s="141"/>
      <c r="C79" s="163"/>
      <c r="D79" s="164"/>
      <c r="E79" s="238" t="s">
        <v>165</v>
      </c>
      <c r="F79" s="208"/>
      <c r="G79" s="208"/>
      <c r="M79" s="166"/>
      <c r="N79" s="141"/>
      <c r="O79" s="121"/>
      <c r="Q79" s="528" t="s">
        <v>83</v>
      </c>
      <c r="R79" s="528" t="s">
        <v>84</v>
      </c>
      <c r="S79" s="528" t="s">
        <v>85</v>
      </c>
      <c r="T79" s="528" t="s">
        <v>166</v>
      </c>
      <c r="U79" s="528"/>
      <c r="V79" s="528"/>
    </row>
    <row r="80" spans="1:22" ht="8.1" customHeight="1" x14ac:dyDescent="0.35">
      <c r="A80" s="121"/>
      <c r="B80" s="141"/>
      <c r="C80" s="163"/>
      <c r="D80" s="164"/>
      <c r="E80" s="238"/>
      <c r="F80" s="208"/>
      <c r="G80" s="208"/>
      <c r="M80" s="166"/>
      <c r="N80" s="141"/>
      <c r="O80" s="121"/>
      <c r="Q80" s="528"/>
      <c r="R80" s="528"/>
      <c r="S80" s="528"/>
      <c r="T80" s="528"/>
      <c r="U80" s="528"/>
      <c r="V80" s="528"/>
    </row>
    <row r="81" spans="1:23" ht="8.1" customHeight="1" x14ac:dyDescent="0.25">
      <c r="A81" s="121"/>
      <c r="B81" s="141"/>
      <c r="C81" s="163"/>
      <c r="D81" s="241"/>
      <c r="E81" s="242"/>
      <c r="F81" s="243"/>
      <c r="G81" s="243"/>
      <c r="H81" s="244"/>
      <c r="I81" s="245"/>
      <c r="J81" s="237"/>
      <c r="K81" s="237"/>
      <c r="L81" s="237"/>
      <c r="M81" s="166"/>
      <c r="N81" s="141"/>
      <c r="O81" s="121"/>
      <c r="Q81" s="537"/>
      <c r="R81" s="537"/>
      <c r="S81" s="537"/>
      <c r="T81" s="537"/>
      <c r="U81" s="537"/>
      <c r="V81" s="537"/>
    </row>
    <row r="82" spans="1:23" x14ac:dyDescent="0.25">
      <c r="A82" s="121"/>
      <c r="B82" s="141"/>
      <c r="C82" s="163"/>
      <c r="D82" s="247"/>
      <c r="E82" s="767" t="s">
        <v>167</v>
      </c>
      <c r="F82" s="688"/>
      <c r="G82" s="688"/>
      <c r="H82" s="248"/>
      <c r="I82" s="245"/>
      <c r="J82" s="237"/>
      <c r="K82" s="237"/>
      <c r="L82" s="237"/>
      <c r="M82" s="166"/>
      <c r="N82" s="141"/>
      <c r="O82" s="121"/>
      <c r="Q82" s="537"/>
      <c r="R82" s="537"/>
      <c r="S82" s="537"/>
      <c r="T82" s="537"/>
      <c r="U82" s="537"/>
      <c r="V82" s="537"/>
    </row>
    <row r="83" spans="1:23" x14ac:dyDescent="0.25">
      <c r="A83" s="121"/>
      <c r="B83" s="141"/>
      <c r="C83" s="163"/>
      <c r="D83" s="247"/>
      <c r="E83" s="767"/>
      <c r="F83" s="688"/>
      <c r="G83" s="688"/>
      <c r="H83" s="248"/>
      <c r="I83" s="245"/>
      <c r="J83" s="237"/>
      <c r="K83" s="237"/>
      <c r="L83" s="237"/>
      <c r="M83" s="166"/>
      <c r="N83" s="141"/>
      <c r="O83" s="121"/>
      <c r="Q83" s="537"/>
      <c r="R83" s="537"/>
      <c r="S83" s="537"/>
      <c r="T83" s="537"/>
      <c r="U83" s="537"/>
      <c r="V83" s="537"/>
    </row>
    <row r="84" spans="1:23" ht="16.5" thickBot="1" x14ac:dyDescent="0.35">
      <c r="A84" s="121"/>
      <c r="B84" s="141"/>
      <c r="C84" s="163"/>
      <c r="D84" s="247"/>
      <c r="E84" s="249" t="s">
        <v>168</v>
      </c>
      <c r="F84" s="669"/>
      <c r="G84" s="250" t="s">
        <v>90</v>
      </c>
      <c r="H84" s="248"/>
      <c r="I84" s="245" t="str">
        <f>S84</f>
        <v xml:space="preserve">*obligatorisk </v>
      </c>
      <c r="J84" s="237"/>
      <c r="K84" s="237"/>
      <c r="L84" s="237"/>
      <c r="M84" s="166"/>
      <c r="N84" s="141"/>
      <c r="O84" s="121"/>
      <c r="Q84" s="251" t="str">
        <f>E84</f>
        <v>fra: (dd.mm.åååå)</v>
      </c>
      <c r="R84" s="545">
        <f>F84</f>
        <v>0</v>
      </c>
      <c r="S84" s="251" t="str" cm="1">
        <f t="array" ref="S84">_xlfn.IFS(F84="",$R$9,TRUE,"")</f>
        <v xml:space="preserve">*obligatorisk </v>
      </c>
      <c r="T84" s="546">
        <f>IF(F84&gt;=DATE(YEAR(F84),R77,1),YEAR(F84),YEAR(F84)-1)</f>
        <v>1899</v>
      </c>
      <c r="U84" s="545">
        <f>R84</f>
        <v>0</v>
      </c>
      <c r="V84" s="545"/>
    </row>
    <row r="85" spans="1:23" ht="16.5" thickTop="1" x14ac:dyDescent="0.3">
      <c r="A85" s="121"/>
      <c r="B85" s="141"/>
      <c r="C85" s="163"/>
      <c r="D85" s="247"/>
      <c r="E85" s="249" t="s">
        <v>169</v>
      </c>
      <c r="F85" s="670"/>
      <c r="G85" s="250" t="s">
        <v>90</v>
      </c>
      <c r="H85" s="248"/>
      <c r="I85" s="245" t="str">
        <f>S85</f>
        <v xml:space="preserve">*obligatorisk </v>
      </c>
      <c r="J85" s="237"/>
      <c r="K85" s="237"/>
      <c r="L85" s="237"/>
      <c r="M85" s="166"/>
      <c r="N85" s="141"/>
      <c r="O85" s="121"/>
      <c r="Q85" s="251" t="str">
        <f>E85</f>
        <v>til: (dd.mm.åååå)</v>
      </c>
      <c r="R85" s="545">
        <f>F85</f>
        <v>0</v>
      </c>
      <c r="S85" s="251" t="str" cm="1">
        <f t="array" ref="S85">_xlfn.IFS(F85="",$R$9,F84="","",F84&gt;F85,$R$8,F85&gt;(EDATE(F84,12)-1),$R$7,TRUE,"")</f>
        <v xml:space="preserve">*obligatorisk </v>
      </c>
      <c r="T85" s="546">
        <f>IF(F85&gt;=DATE(YEAR(F85),R77,1),YEAR(F85),YEAR(F85)-1)</f>
        <v>1899</v>
      </c>
      <c r="U85" s="545"/>
      <c r="V85" s="545"/>
    </row>
    <row r="86" spans="1:23" ht="8.1" customHeight="1" x14ac:dyDescent="0.3">
      <c r="A86" s="121"/>
      <c r="B86" s="141"/>
      <c r="C86" s="163"/>
      <c r="D86" s="256"/>
      <c r="E86" s="257"/>
      <c r="F86" s="258"/>
      <c r="G86" s="259"/>
      <c r="H86" s="260"/>
      <c r="I86" s="245"/>
      <c r="J86" s="237"/>
      <c r="K86" s="237"/>
      <c r="L86" s="237"/>
      <c r="M86" s="166"/>
      <c r="N86" s="141"/>
      <c r="O86" s="121"/>
      <c r="Q86" s="547"/>
      <c r="R86" s="537"/>
      <c r="S86" s="537"/>
      <c r="T86" s="537"/>
      <c r="U86" s="537"/>
      <c r="V86" s="537"/>
    </row>
    <row r="87" spans="1:23" ht="8.1" customHeight="1" x14ac:dyDescent="0.3">
      <c r="A87" s="121"/>
      <c r="B87" s="141"/>
      <c r="C87" s="163"/>
      <c r="D87" s="164"/>
      <c r="E87" s="208"/>
      <c r="G87" s="250"/>
      <c r="H87" s="237"/>
      <c r="I87" s="237"/>
      <c r="J87" s="237"/>
      <c r="K87" s="237"/>
      <c r="L87" s="237"/>
      <c r="M87" s="166"/>
      <c r="N87" s="141"/>
      <c r="O87" s="121"/>
      <c r="Q87" s="537"/>
      <c r="R87" s="537"/>
      <c r="S87" s="537"/>
      <c r="T87" s="537"/>
      <c r="U87" s="537"/>
      <c r="V87" s="537"/>
    </row>
    <row r="88" spans="1:23" x14ac:dyDescent="0.25">
      <c r="A88" s="121"/>
      <c r="B88" s="141"/>
      <c r="C88" s="163"/>
      <c r="D88" s="241"/>
      <c r="E88" s="264"/>
      <c r="F88" s="264"/>
      <c r="G88" s="264"/>
      <c r="H88" s="244"/>
      <c r="I88" s="237"/>
      <c r="J88" s="237"/>
      <c r="K88" s="237"/>
      <c r="L88" s="237"/>
      <c r="M88" s="303"/>
      <c r="N88" s="141"/>
      <c r="O88" s="121"/>
      <c r="Q88" s="535" t="s">
        <v>158</v>
      </c>
      <c r="R88" s="536" t="str">
        <f>IF(S84&amp;S85="","ja","nei")</f>
        <v>nei</v>
      </c>
      <c r="S88" s="537"/>
      <c r="T88" s="537"/>
      <c r="U88" s="537"/>
      <c r="V88" s="537"/>
    </row>
    <row r="89" spans="1:23" ht="15.75" thickBot="1" x14ac:dyDescent="0.3">
      <c r="A89" s="121"/>
      <c r="B89" s="141"/>
      <c r="C89" s="163"/>
      <c r="D89" s="247"/>
      <c r="E89" s="208" t="str">
        <f>Q89</f>
        <v>månedlig sats</v>
      </c>
      <c r="F89" s="267" t="str">
        <f>IF(R88="nei","",R89)</f>
        <v/>
      </c>
      <c r="H89" s="248"/>
      <c r="I89" s="237"/>
      <c r="J89" s="237"/>
      <c r="K89" s="237"/>
      <c r="L89" s="237"/>
      <c r="M89" s="303"/>
      <c r="N89" s="141"/>
      <c r="O89" s="121"/>
      <c r="Q89" s="234" t="str">
        <f>IFERROR(IF(T84&gt;2021,"månedlig sats fra 1.juli."&amp;T84&amp;T89&amp;" til 30.juni."&amp;T84+1,"månedlig sats"),"månedlig sats")</f>
        <v>månedlig sats</v>
      </c>
      <c r="R89" s="538" t="str">
        <f>_xlfn.XLOOKUP(T84,Innstillinger!$B$38:$B$44,Grunnstøtte,"-")</f>
        <v>-</v>
      </c>
      <c r="S89" s="234" t="str">
        <f>IF(S84&amp;S85="",_xlfn.XLOOKUP(T84,Innstillinger!$B$29:$B$35,Innstillinger!$I$29:$I$35,""),"")</f>
        <v/>
      </c>
      <c r="T89" s="234" t="str">
        <f>IF(_xlfn.XLOOKUP(T84,Innstillinger!B29:B35,Innstillinger!J29:J35,"")="-","*","")</f>
        <v/>
      </c>
      <c r="U89" s="537"/>
      <c r="V89" s="537"/>
      <c r="W89" s="302"/>
    </row>
    <row r="90" spans="1:23" ht="16.5" customHeight="1" thickTop="1" thickBot="1" x14ac:dyDescent="0.3">
      <c r="A90" s="121"/>
      <c r="B90" s="141"/>
      <c r="C90" s="163"/>
      <c r="D90" s="247"/>
      <c r="E90" s="208" t="str">
        <f t="shared" ref="E90:E91" si="4">Q90</f>
        <v>døgnsats</v>
      </c>
      <c r="F90" s="270" t="str">
        <f>IF(R88="nei","",R90)</f>
        <v/>
      </c>
      <c r="H90" s="271"/>
      <c r="I90" s="237"/>
      <c r="J90" s="237"/>
      <c r="K90" s="237"/>
      <c r="L90" s="237"/>
      <c r="M90" s="303"/>
      <c r="N90" s="141"/>
      <c r="O90" s="121"/>
      <c r="Q90" s="234" t="str">
        <f>IFERROR(IF(T84&gt;2021,"døgnsats fra 1.juli."&amp;T84&amp;T89&amp;" til 30.juni."&amp;T84+1,"døgnsats"),"døgnsats")</f>
        <v>døgnsats</v>
      </c>
      <c r="R90" s="538" t="e">
        <f>R89*12/T91</f>
        <v>#VALUE!</v>
      </c>
      <c r="S90" s="234"/>
      <c r="T90" s="234"/>
      <c r="U90" s="537"/>
      <c r="V90" s="537"/>
    </row>
    <row r="91" spans="1:23" ht="16.5" customHeight="1" thickTop="1" x14ac:dyDescent="0.25">
      <c r="A91" s="121"/>
      <c r="B91" s="141"/>
      <c r="C91" s="163"/>
      <c r="D91" s="247"/>
      <c r="E91" s="208" t="str">
        <f t="shared" si="4"/>
        <v>antall dager</v>
      </c>
      <c r="F91" s="272" t="str">
        <f>IF(R88="nei","",R91)</f>
        <v/>
      </c>
      <c r="H91" s="248"/>
      <c r="I91" s="237"/>
      <c r="J91" s="237"/>
      <c r="K91" s="237"/>
      <c r="L91" s="237"/>
      <c r="M91" s="303"/>
      <c r="N91" s="141"/>
      <c r="O91" s="121"/>
      <c r="Q91" s="234" t="str">
        <f>IFERROR(IF(T84&gt;2021,"antall dager fra 1.juli."&amp;T84&amp;T89&amp;" til 30.juni."&amp;T84+1,"antall dager"),"antall dager")</f>
        <v>antall dager</v>
      </c>
      <c r="R91" s="548" t="str" cm="1">
        <f t="array" ref="R91">_xlfn.IFS(F85="","",F84="","",R78="JA",F85-F84,1=1,(DATE(T84+1,R77,1)-1)-F84+1)</f>
        <v/>
      </c>
      <c r="S91" s="234"/>
      <c r="T91" s="549">
        <f>(DATE(T84+1,R77,1)-1)-(DATE(T84,R77,1))+1</f>
        <v>-693596</v>
      </c>
      <c r="U91" s="545">
        <f>R84</f>
        <v>0</v>
      </c>
      <c r="V91" s="545" cm="1">
        <f t="array" ref="V91">_xlfn.IFS(MONTH(R84)&gt;6,DATE(YEAR(R84)+1,6,30),MONTH(R84)&gt;0,DATE(YEAR(R84),6,30))</f>
        <v>182</v>
      </c>
    </row>
    <row r="92" spans="1:23" x14ac:dyDescent="0.25">
      <c r="A92" s="121"/>
      <c r="B92" s="141"/>
      <c r="C92" s="163"/>
      <c r="D92" s="247"/>
      <c r="E92" s="274" t="str">
        <f>S89</f>
        <v/>
      </c>
      <c r="H92" s="248"/>
      <c r="I92" s="237"/>
      <c r="J92" s="237"/>
      <c r="K92" s="237"/>
      <c r="L92" s="237"/>
      <c r="M92" s="303"/>
      <c r="N92" s="141"/>
      <c r="O92" s="121"/>
      <c r="Q92" s="535" t="s">
        <v>170</v>
      </c>
      <c r="R92" s="536" t="str">
        <f>IF(R88="nei","nei",IF(R78="ja","nei","ja"))</f>
        <v>nei</v>
      </c>
      <c r="S92" s="537"/>
      <c r="T92" s="537"/>
      <c r="U92" s="537"/>
      <c r="V92" s="537"/>
    </row>
    <row r="93" spans="1:23" ht="8.1" customHeight="1" x14ac:dyDescent="0.25">
      <c r="A93" s="121"/>
      <c r="B93" s="141"/>
      <c r="C93" s="163"/>
      <c r="D93" s="247"/>
      <c r="H93" s="248"/>
      <c r="I93" s="237"/>
      <c r="J93" s="237"/>
      <c r="K93" s="237"/>
      <c r="L93" s="237"/>
      <c r="M93" s="303"/>
      <c r="N93" s="141"/>
      <c r="O93" s="121"/>
      <c r="Q93" s="537"/>
      <c r="R93" s="537"/>
      <c r="S93" s="537"/>
      <c r="T93" s="537"/>
      <c r="U93" s="537"/>
      <c r="V93" s="537"/>
    </row>
    <row r="94" spans="1:23" ht="16.5" customHeight="1" thickBot="1" x14ac:dyDescent="0.3">
      <c r="A94" s="121"/>
      <c r="B94" s="141"/>
      <c r="C94" s="163"/>
      <c r="D94" s="247"/>
      <c r="E94" s="208" t="str" cm="1">
        <f t="array" ref="E94">IF(R92="ja",Q94:R96,"")</f>
        <v/>
      </c>
      <c r="F94" s="267"/>
      <c r="G94" s="277"/>
      <c r="H94" s="248"/>
      <c r="I94" s="237"/>
      <c r="J94" s="237"/>
      <c r="K94" s="237"/>
      <c r="L94" s="237"/>
      <c r="M94" s="303"/>
      <c r="N94" s="141"/>
      <c r="O94" s="121"/>
      <c r="Q94" s="550" t="str">
        <f>"månedlig sats fra 1.juli."&amp;T85&amp;" til 30.juni"&amp;T85+1</f>
        <v>månedlig sats fra 1.juli.1899 til 30.juni1900</v>
      </c>
      <c r="R94" s="538" t="str">
        <f>_xlfn.XLOOKUP(T85,Innstillinger!$B$38:$B$44,Grunnstøtte,"-")</f>
        <v>-</v>
      </c>
      <c r="S94" s="234" t="str">
        <f>IF(R92="nei","",IF(R88="ja",_xlfn.XLOOKUP(T85,Innstillinger!$B$29:$B$35,Innstillinger!$I$29:$I$35,""),""))</f>
        <v/>
      </c>
      <c r="T94" s="234" t="str">
        <f>IF(_xlfn.XLOOKUP(T85,Innstillinger!B29:B35,Innstillinger!J29:J35,"")="-","*","")</f>
        <v/>
      </c>
      <c r="U94" s="537"/>
      <c r="V94" s="537"/>
      <c r="W94" s="302"/>
    </row>
    <row r="95" spans="1:23" ht="16.5" customHeight="1" thickTop="1" thickBot="1" x14ac:dyDescent="0.3">
      <c r="A95" s="121"/>
      <c r="B95" s="141"/>
      <c r="C95" s="163"/>
      <c r="D95" s="247"/>
      <c r="E95" s="208"/>
      <c r="F95" s="270"/>
      <c r="G95" s="278"/>
      <c r="H95" s="248"/>
      <c r="I95" s="237"/>
      <c r="J95" s="237"/>
      <c r="K95" s="237"/>
      <c r="L95" s="237"/>
      <c r="M95" s="303"/>
      <c r="N95" s="141"/>
      <c r="O95" s="121"/>
      <c r="Q95" s="550" t="str">
        <f>"døgnsats fra 1.juli."&amp;T85&amp;" til 30.juni"&amp;T85+1</f>
        <v>døgnsats fra 1.juli.1899 til 30.juni1900</v>
      </c>
      <c r="R95" s="538" t="e">
        <f>R94*12/T96</f>
        <v>#VALUE!</v>
      </c>
      <c r="S95" s="234"/>
      <c r="T95" s="234"/>
      <c r="U95" s="537"/>
      <c r="V95" s="537"/>
      <c r="W95" s="302"/>
    </row>
    <row r="96" spans="1:23" ht="16.5" customHeight="1" thickTop="1" x14ac:dyDescent="0.25">
      <c r="A96" s="121"/>
      <c r="B96" s="141"/>
      <c r="C96" s="163"/>
      <c r="D96" s="247"/>
      <c r="E96" s="208"/>
      <c r="F96" s="272"/>
      <c r="G96" s="278"/>
      <c r="H96" s="248"/>
      <c r="I96" s="237"/>
      <c r="J96" s="237"/>
      <c r="K96" s="237"/>
      <c r="L96" s="237"/>
      <c r="M96" s="303"/>
      <c r="N96" s="141"/>
      <c r="O96" s="121"/>
      <c r="Q96" s="550" t="str">
        <f>"antall dager fra 1.juli."&amp;T85&amp;" til 30.juni"&amp;T85+1</f>
        <v>antall dager fra 1.juli.1899 til 30.juni1900</v>
      </c>
      <c r="R96" s="551">
        <f>IF(R78="Ja","",F85-(DATE(T85,R77,1)))</f>
        <v>-693779</v>
      </c>
      <c r="S96" s="234"/>
      <c r="T96" s="549">
        <f>IF(R78="Ja","",(DATE(T85+1,R77,1)-1)-(DATE(T85,R77,1))+1)</f>
        <v>-693596</v>
      </c>
      <c r="U96" s="545">
        <f>IF(R78="ja",R85,DATE(T84,7,1))</f>
        <v>693779</v>
      </c>
      <c r="V96" s="545"/>
    </row>
    <row r="97" spans="1:22" x14ac:dyDescent="0.25">
      <c r="A97" s="121"/>
      <c r="B97" s="141"/>
      <c r="C97" s="163"/>
      <c r="D97" s="247"/>
      <c r="E97" s="274" t="str">
        <f>S94</f>
        <v/>
      </c>
      <c r="H97" s="248"/>
      <c r="I97" s="237"/>
      <c r="J97" s="237"/>
      <c r="K97" s="237"/>
      <c r="L97" s="237"/>
      <c r="M97" s="303"/>
      <c r="N97" s="141"/>
      <c r="O97" s="121"/>
      <c r="Q97" s="537"/>
      <c r="R97" s="539"/>
      <c r="S97" s="537"/>
      <c r="T97" s="537"/>
      <c r="U97" s="537"/>
      <c r="V97" s="537"/>
    </row>
    <row r="98" spans="1:22" ht="5.25" customHeight="1" x14ac:dyDescent="0.25">
      <c r="A98" s="121"/>
      <c r="B98" s="141"/>
      <c r="C98" s="163"/>
      <c r="D98" s="247"/>
      <c r="E98" s="208"/>
      <c r="F98" s="281"/>
      <c r="G98" s="281"/>
      <c r="H98" s="248"/>
      <c r="I98" s="237"/>
      <c r="J98" s="237"/>
      <c r="K98" s="237"/>
      <c r="L98" s="237"/>
      <c r="M98" s="303"/>
      <c r="N98" s="141"/>
      <c r="O98" s="121"/>
      <c r="Q98" s="537"/>
      <c r="R98" s="539"/>
      <c r="S98" s="537"/>
      <c r="T98" s="537"/>
      <c r="U98" s="537"/>
      <c r="V98" s="537"/>
    </row>
    <row r="99" spans="1:22" ht="18.75" x14ac:dyDescent="0.25">
      <c r="A99" s="121"/>
      <c r="B99" s="141"/>
      <c r="C99" s="163"/>
      <c r="D99" s="283"/>
      <c r="E99" s="284" t="s">
        <v>125</v>
      </c>
      <c r="F99" s="285" t="str">
        <f>R99</f>
        <v/>
      </c>
      <c r="G99" s="286"/>
      <c r="H99" s="287"/>
      <c r="I99" s="237"/>
      <c r="J99" s="237"/>
      <c r="K99" s="237"/>
      <c r="L99" s="237"/>
      <c r="M99" s="303"/>
      <c r="N99" s="141"/>
      <c r="O99" s="121"/>
      <c r="Q99" s="234" t="str">
        <f t="shared" ref="Q99" si="5">E99</f>
        <v>Totalkostnad</v>
      </c>
      <c r="R99" s="538" t="str">
        <f>IF(R88="NEI","",R90*R91+IF(R78="Nei",R95*R96,0))</f>
        <v/>
      </c>
      <c r="S99" s="234"/>
      <c r="T99" s="234"/>
      <c r="U99" s="545"/>
      <c r="V99" s="545"/>
    </row>
    <row r="100" spans="1:22" x14ac:dyDescent="0.25">
      <c r="A100" s="121"/>
      <c r="B100" s="141"/>
      <c r="C100" s="163"/>
      <c r="D100" s="256"/>
      <c r="E100" s="288"/>
      <c r="F100" s="288"/>
      <c r="G100" s="288"/>
      <c r="H100" s="289"/>
      <c r="I100" s="237"/>
      <c r="J100" s="237"/>
      <c r="K100" s="237"/>
      <c r="L100" s="237"/>
      <c r="M100" s="303"/>
      <c r="N100" s="141"/>
      <c r="O100" s="121"/>
    </row>
    <row r="101" spans="1:22" ht="8.1" customHeight="1" x14ac:dyDescent="0.25">
      <c r="A101" s="121"/>
      <c r="B101" s="141"/>
      <c r="C101" s="163"/>
      <c r="D101" s="164"/>
      <c r="E101" s="236"/>
      <c r="F101" s="236"/>
      <c r="G101" s="236"/>
      <c r="H101" s="236"/>
      <c r="I101" s="237"/>
      <c r="J101" s="237"/>
      <c r="K101" s="237"/>
      <c r="L101" s="237"/>
      <c r="M101" s="303"/>
      <c r="N101" s="141"/>
      <c r="O101" s="121"/>
    </row>
    <row r="102" spans="1:22" x14ac:dyDescent="0.25">
      <c r="A102" s="121"/>
      <c r="B102" s="141"/>
      <c r="C102" s="163"/>
      <c r="D102" s="452"/>
      <c r="E102" s="81" t="str">
        <f>IF(E103="","Skriv kommentar:","")</f>
        <v>Skriv kommentar:</v>
      </c>
      <c r="F102" s="81"/>
      <c r="G102" s="81"/>
      <c r="H102" s="82"/>
      <c r="I102" s="465"/>
      <c r="J102" s="465"/>
      <c r="M102" s="166"/>
      <c r="N102" s="141"/>
      <c r="O102" s="121"/>
      <c r="Q102" s="557"/>
      <c r="R102" s="558"/>
      <c r="S102" s="232"/>
    </row>
    <row r="103" spans="1:22" x14ac:dyDescent="0.25">
      <c r="A103" s="121"/>
      <c r="B103" s="141"/>
      <c r="C103" s="163"/>
      <c r="D103" s="454"/>
      <c r="E103" s="753"/>
      <c r="F103" s="753"/>
      <c r="G103" s="753"/>
      <c r="H103" s="455"/>
      <c r="I103" s="465"/>
      <c r="J103" s="465"/>
      <c r="M103" s="166"/>
      <c r="N103" s="141"/>
      <c r="O103" s="121"/>
      <c r="Q103" s="340"/>
      <c r="R103" s="558"/>
      <c r="S103" s="232"/>
    </row>
    <row r="104" spans="1:22" x14ac:dyDescent="0.25">
      <c r="A104" s="121"/>
      <c r="B104" s="141"/>
      <c r="C104" s="163"/>
      <c r="D104" s="454"/>
      <c r="E104" s="753"/>
      <c r="F104" s="753"/>
      <c r="G104" s="753"/>
      <c r="H104" s="455"/>
      <c r="I104" s="465"/>
      <c r="J104" s="465"/>
      <c r="M104" s="166"/>
      <c r="N104" s="141"/>
      <c r="O104" s="121"/>
      <c r="U104" s="232"/>
    </row>
    <row r="105" spans="1:22" x14ac:dyDescent="0.25">
      <c r="A105" s="121"/>
      <c r="B105" s="141"/>
      <c r="C105" s="163"/>
      <c r="D105" s="454"/>
      <c r="E105" s="753"/>
      <c r="F105" s="753"/>
      <c r="G105" s="753"/>
      <c r="H105" s="455"/>
      <c r="I105" s="465"/>
      <c r="J105" s="465"/>
      <c r="M105" s="166"/>
      <c r="N105" s="141"/>
      <c r="O105" s="121"/>
      <c r="U105" s="232"/>
    </row>
    <row r="106" spans="1:22" x14ac:dyDescent="0.25">
      <c r="A106" s="121"/>
      <c r="B106" s="141"/>
      <c r="C106" s="163"/>
      <c r="D106" s="454"/>
      <c r="E106" s="753"/>
      <c r="F106" s="753"/>
      <c r="G106" s="753"/>
      <c r="H106" s="455"/>
      <c r="I106" s="465"/>
      <c r="J106" s="465"/>
      <c r="M106" s="166"/>
      <c r="N106" s="141"/>
      <c r="O106" s="121"/>
      <c r="R106" s="291"/>
      <c r="S106" s="559"/>
      <c r="T106" s="559"/>
    </row>
    <row r="107" spans="1:22" x14ac:dyDescent="0.25">
      <c r="A107" s="121"/>
      <c r="B107" s="141"/>
      <c r="C107" s="163"/>
      <c r="D107" s="458"/>
      <c r="E107" s="754"/>
      <c r="F107" s="754"/>
      <c r="G107" s="754"/>
      <c r="H107" s="459"/>
      <c r="I107" s="465"/>
      <c r="J107" s="465"/>
      <c r="M107" s="166"/>
      <c r="N107" s="141"/>
      <c r="O107" s="121"/>
      <c r="R107" s="291"/>
      <c r="S107" s="232"/>
      <c r="T107" s="232"/>
    </row>
    <row r="108" spans="1:22" x14ac:dyDescent="0.25">
      <c r="A108" s="121"/>
      <c r="B108" s="141"/>
      <c r="C108" s="304"/>
      <c r="D108" s="305"/>
      <c r="E108" s="306"/>
      <c r="F108" s="306"/>
      <c r="G108" s="306"/>
      <c r="H108" s="306"/>
      <c r="I108" s="307"/>
      <c r="J108" s="307"/>
      <c r="K108" s="307"/>
      <c r="L108" s="307"/>
      <c r="M108" s="308"/>
      <c r="N108" s="141"/>
      <c r="O108" s="121"/>
      <c r="R108" s="291"/>
      <c r="S108" s="232"/>
      <c r="T108" s="232"/>
      <c r="U108" s="340"/>
    </row>
    <row r="109" spans="1:22" ht="15" customHeight="1" x14ac:dyDescent="0.25">
      <c r="A109" s="121"/>
      <c r="B109" s="141"/>
      <c r="C109" s="141"/>
      <c r="D109" s="141"/>
      <c r="E109" s="141"/>
      <c r="F109" s="141"/>
      <c r="G109" s="141"/>
      <c r="H109" s="141"/>
      <c r="I109" s="613"/>
      <c r="J109" s="613"/>
      <c r="K109" s="141"/>
      <c r="L109" s="141"/>
      <c r="M109" s="141"/>
      <c r="N109" s="141"/>
      <c r="O109" s="121"/>
      <c r="Q109" s="214"/>
      <c r="R109" s="291"/>
      <c r="S109" s="291"/>
      <c r="T109" s="291"/>
    </row>
    <row r="110" spans="1:22" ht="6" customHeight="1" x14ac:dyDescent="0.25">
      <c r="A110" s="121"/>
      <c r="B110" s="124"/>
      <c r="C110" s="124"/>
      <c r="D110" s="124"/>
      <c r="E110" s="124"/>
      <c r="F110" s="124"/>
      <c r="G110" s="124"/>
      <c r="H110" s="124"/>
      <c r="I110" s="124"/>
      <c r="J110" s="124"/>
      <c r="K110" s="124"/>
      <c r="L110" s="124"/>
      <c r="M110" s="124"/>
      <c r="N110" s="121"/>
      <c r="O110" s="121"/>
    </row>
    <row r="111" spans="1:22" ht="15" customHeight="1" x14ac:dyDescent="0.25">
      <c r="A111" s="121"/>
      <c r="B111" s="141"/>
      <c r="C111" s="141"/>
      <c r="D111" s="141"/>
      <c r="E111" s="141"/>
      <c r="F111" s="141"/>
      <c r="G111" s="141"/>
      <c r="H111" s="141"/>
      <c r="I111" s="613"/>
      <c r="J111" s="613"/>
      <c r="K111" s="141"/>
      <c r="L111" s="141"/>
      <c r="M111" s="141"/>
      <c r="N111" s="141"/>
      <c r="O111" s="121"/>
      <c r="Q111" s="234" t="s">
        <v>163</v>
      </c>
      <c r="R111" s="543">
        <v>7</v>
      </c>
      <c r="U111" s="552" t="s">
        <v>171</v>
      </c>
      <c r="V111" s="546">
        <f>MONTH(U120)</f>
        <v>1</v>
      </c>
    </row>
    <row r="112" spans="1:22" x14ac:dyDescent="0.25">
      <c r="A112" s="121"/>
      <c r="B112" s="141"/>
      <c r="C112" s="310"/>
      <c r="D112" s="311"/>
      <c r="E112" s="312"/>
      <c r="F112" s="312"/>
      <c r="G112" s="312"/>
      <c r="H112" s="312"/>
      <c r="I112" s="313"/>
      <c r="J112" s="313"/>
      <c r="K112" s="313"/>
      <c r="L112" s="313"/>
      <c r="M112" s="314"/>
      <c r="N112" s="141"/>
      <c r="O112" s="121"/>
      <c r="Q112" s="234" t="s">
        <v>164</v>
      </c>
      <c r="R112" s="544" t="str" cm="1">
        <f t="array" ref="R112">_xlfn.IFS(F116="","",U113=V113,"ja",ABS(U113-V113)&gt;0,"nei",TRUE,"")</f>
        <v/>
      </c>
      <c r="U112" s="552" t="s">
        <v>172</v>
      </c>
      <c r="V112" s="546">
        <f>DAY(U120)</f>
        <v>0</v>
      </c>
    </row>
    <row r="113" spans="1:22" ht="21" x14ac:dyDescent="0.35">
      <c r="A113" s="121"/>
      <c r="B113" s="141"/>
      <c r="C113" s="163"/>
      <c r="D113" s="164"/>
      <c r="E113" s="238" t="s">
        <v>173</v>
      </c>
      <c r="F113" s="208"/>
      <c r="G113" s="208"/>
      <c r="M113" s="166"/>
      <c r="N113" s="141"/>
      <c r="O113" s="121"/>
      <c r="Q113" s="528" t="s">
        <v>83</v>
      </c>
      <c r="R113" s="528" t="s">
        <v>84</v>
      </c>
      <c r="S113" s="528" t="s">
        <v>85</v>
      </c>
      <c r="T113" s="528" t="s">
        <v>166</v>
      </c>
      <c r="U113" s="528">
        <f>IF(U116&gt;=DATE(YEAR(U116),R111,1),YEAR(U116),YEAR(U116)-1)</f>
        <v>1899</v>
      </c>
      <c r="V113" s="528">
        <f>IF(V116&gt;=DATE(YEAR(V116),R111,1),YEAR(V116),YEAR(V116)-1)</f>
        <v>1900</v>
      </c>
    </row>
    <row r="114" spans="1:22" ht="8.1" customHeight="1" x14ac:dyDescent="0.35">
      <c r="A114" s="121"/>
      <c r="B114" s="141"/>
      <c r="C114" s="163"/>
      <c r="D114" s="164"/>
      <c r="E114" s="238"/>
      <c r="F114" s="208"/>
      <c r="G114" s="208"/>
      <c r="K114" s="237"/>
      <c r="L114" s="237"/>
      <c r="M114" s="166"/>
      <c r="N114" s="141"/>
      <c r="O114" s="121"/>
      <c r="Q114" s="528"/>
      <c r="R114" s="528"/>
      <c r="S114" s="528"/>
      <c r="T114" s="528"/>
      <c r="U114" s="537"/>
      <c r="V114" s="537"/>
    </row>
    <row r="115" spans="1:22" ht="8.1" customHeight="1" x14ac:dyDescent="0.25">
      <c r="A115" s="121"/>
      <c r="B115" s="141"/>
      <c r="C115" s="163"/>
      <c r="D115" s="241"/>
      <c r="E115" s="242"/>
      <c r="F115" s="243"/>
      <c r="G115" s="243"/>
      <c r="H115" s="244"/>
      <c r="I115" s="245"/>
      <c r="J115" s="237"/>
      <c r="K115" s="237"/>
      <c r="L115" s="237"/>
      <c r="M115" s="166"/>
      <c r="N115" s="141"/>
      <c r="O115" s="121"/>
      <c r="Q115" s="537"/>
      <c r="R115" s="537"/>
      <c r="S115" s="537"/>
      <c r="T115" s="537"/>
      <c r="U115" s="537"/>
      <c r="V115" s="537"/>
    </row>
    <row r="116" spans="1:22" ht="15.75" x14ac:dyDescent="0.3">
      <c r="A116" s="121"/>
      <c r="B116" s="141"/>
      <c r="C116" s="163"/>
      <c r="D116" s="247"/>
      <c r="E116" s="208" t="s">
        <v>174</v>
      </c>
      <c r="F116" s="669"/>
      <c r="G116" s="250" t="s">
        <v>90</v>
      </c>
      <c r="H116" s="248"/>
      <c r="I116" s="245" t="str">
        <f>S116</f>
        <v xml:space="preserve">*obligatorisk </v>
      </c>
      <c r="J116" s="237"/>
      <c r="K116" s="237"/>
      <c r="L116" s="237"/>
      <c r="M116" s="166"/>
      <c r="N116" s="141"/>
      <c r="O116" s="121"/>
      <c r="Q116" s="553" t="str">
        <f>E116</f>
        <v>Tilskuddsperiode startdato (dd.mm.åååå)</v>
      </c>
      <c r="R116" s="545">
        <f>F116</f>
        <v>0</v>
      </c>
      <c r="S116" s="251" t="str" cm="1">
        <f t="array" ref="S116">_xlfn.IFS(F116="",$R$9,TRUE,"")</f>
        <v xml:space="preserve">*obligatorisk </v>
      </c>
      <c r="U116" s="554">
        <f>F116</f>
        <v>0</v>
      </c>
      <c r="V116" s="554">
        <f>EDATE(F116,12)-1</f>
        <v>365</v>
      </c>
    </row>
    <row r="117" spans="1:22" ht="8.1" customHeight="1" x14ac:dyDescent="0.3">
      <c r="A117" s="121"/>
      <c r="B117" s="141"/>
      <c r="C117" s="163"/>
      <c r="D117" s="256"/>
      <c r="E117" s="257"/>
      <c r="F117" s="258"/>
      <c r="G117" s="259"/>
      <c r="H117" s="260"/>
      <c r="I117" s="245"/>
      <c r="J117" s="237"/>
      <c r="K117" s="237"/>
      <c r="L117" s="237"/>
      <c r="M117" s="166"/>
      <c r="N117" s="141"/>
      <c r="O117" s="121"/>
      <c r="Q117" s="547"/>
      <c r="R117" s="537"/>
      <c r="S117" s="537"/>
      <c r="T117" s="537"/>
      <c r="U117" s="537"/>
      <c r="V117" s="537"/>
    </row>
    <row r="118" spans="1:22" ht="8.1" customHeight="1" x14ac:dyDescent="0.3">
      <c r="A118" s="121"/>
      <c r="B118" s="141"/>
      <c r="C118" s="163"/>
      <c r="D118" s="164"/>
      <c r="E118" s="208"/>
      <c r="G118" s="250"/>
      <c r="H118" s="237"/>
      <c r="I118" s="237"/>
      <c r="J118" s="237"/>
      <c r="K118" s="237"/>
      <c r="L118" s="237"/>
      <c r="M118" s="166"/>
      <c r="N118" s="141"/>
      <c r="O118" s="121"/>
      <c r="Q118" s="537"/>
      <c r="R118" s="537"/>
      <c r="S118" s="537"/>
      <c r="T118" s="537"/>
      <c r="U118" s="537"/>
      <c r="V118" s="537"/>
    </row>
    <row r="119" spans="1:22" x14ac:dyDescent="0.25">
      <c r="A119" s="121"/>
      <c r="B119" s="141"/>
      <c r="C119" s="163"/>
      <c r="D119" s="241"/>
      <c r="E119" s="264"/>
      <c r="F119" s="264"/>
      <c r="G119" s="264"/>
      <c r="H119" s="244"/>
      <c r="I119" s="237"/>
      <c r="J119" s="237"/>
      <c r="K119" s="237"/>
      <c r="L119" s="237"/>
      <c r="M119" s="303"/>
      <c r="N119" s="141"/>
      <c r="O119" s="121"/>
      <c r="Q119" s="535" t="s">
        <v>158</v>
      </c>
      <c r="R119" s="536" t="str">
        <f>IFERROR(IF(S116&amp;S120&amp;S124="","ja","nei"),"nei")</f>
        <v>nei</v>
      </c>
      <c r="S119" s="537"/>
      <c r="T119" s="537"/>
      <c r="U119" s="537"/>
      <c r="V119" s="537"/>
    </row>
    <row r="120" spans="1:22" ht="16.5" thickBot="1" x14ac:dyDescent="0.35">
      <c r="A120" s="121"/>
      <c r="B120" s="141"/>
      <c r="C120" s="163"/>
      <c r="D120" s="247"/>
      <c r="E120" s="208" t="str">
        <f>Q120</f>
        <v>antall dager</v>
      </c>
      <c r="F120" s="120"/>
      <c r="G120" s="250" t="s">
        <v>90</v>
      </c>
      <c r="H120" s="248"/>
      <c r="I120" s="245" t="str">
        <f>S120</f>
        <v xml:space="preserve">*obligatorisk </v>
      </c>
      <c r="J120" s="237"/>
      <c r="K120" s="237"/>
      <c r="L120" s="237"/>
      <c r="M120" s="303"/>
      <c r="N120" s="141"/>
      <c r="O120" s="121"/>
      <c r="Q120" s="550" t="str" cm="1">
        <f t="array" ref="Q120">IFERROR(_xlfn.IFS(F116="","antall dager",F116&lt;44562,"antall dager",V120="",TEXT(U120,"dd.mm.åååå"),TRUE,"antall dager fra "&amp;TEXT(U120,"dd.mm.åååå")&amp;" til "&amp;TEXT(V120,"dd.mm.åååå")),"antall dager")</f>
        <v>antall dager</v>
      </c>
      <c r="R120" s="538">
        <f>F120</f>
        <v>0</v>
      </c>
      <c r="S120" s="251" t="str" cm="1">
        <f t="array" ref="S120">_xlfn.IFS(F120="",$R$9,F120&gt;T120,"* antall  kan ikke overstige "&amp;T120&amp;" dag"&amp;IF(T120&gt;1,"er",""),TRUE,"")</f>
        <v xml:space="preserve">*obligatorisk </v>
      </c>
      <c r="T120" s="544">
        <f>IFERROR(V120-U120,0)+1</f>
        <v>183</v>
      </c>
      <c r="U120" s="545">
        <f>U116</f>
        <v>0</v>
      </c>
      <c r="V120" s="545" cm="1">
        <f t="array" ref="V120">_xlfn.IFS(AND(V111=6,V112=30),"",V111&lt;R111,DATE(YEAR(U116),6,30),TRUE,DATE(YEAR(U116)+1,6,30))</f>
        <v>182</v>
      </c>
    </row>
    <row r="121" spans="1:22" ht="16.5" customHeight="1" thickTop="1" x14ac:dyDescent="0.25">
      <c r="A121" s="121"/>
      <c r="B121" s="141"/>
      <c r="C121" s="163"/>
      <c r="D121" s="247"/>
      <c r="E121" s="208" t="str">
        <f t="shared" ref="E121" si="6">Q121</f>
        <v>døgnsats</v>
      </c>
      <c r="F121" s="555" t="str">
        <f>R121</f>
        <v>-</v>
      </c>
      <c r="H121" s="248"/>
      <c r="I121" s="237"/>
      <c r="J121" s="237"/>
      <c r="K121" s="237"/>
      <c r="L121" s="237"/>
      <c r="M121" s="303"/>
      <c r="N121" s="141"/>
      <c r="O121" s="121"/>
      <c r="Q121" s="550" t="str" cm="1">
        <f t="array" ref="Q121">IFERROR(_xlfn.IFS(F116="","døgnsats",F116&gt;=44562,"døgnsats for "&amp;U113&amp;T121,TRUE,"døgnsats"),"døgnsats")</f>
        <v>døgnsats</v>
      </c>
      <c r="R121" s="548" t="str">
        <f>_xlfn.XLOOKUP(U113,Innstillinger!$B$38:$B$44,Besøksjem,"-")</f>
        <v>-</v>
      </c>
      <c r="S121" s="234" t="str">
        <f>IF(F125&gt;0,_xlfn.XLOOKUP(U113,Innstillinger!$B$38:$B$44,Innstillinger!$I$38:$I$44,""),"")</f>
        <v/>
      </c>
      <c r="T121" s="544" t="str">
        <f>IF(_xlfn.XLOOKUP(U113,Innstillinger!$B$38:$B$44,Innstillinger!$J$38:$J$44,"")="-","*","")</f>
        <v/>
      </c>
      <c r="U121" s="234"/>
      <c r="V121" s="234"/>
    </row>
    <row r="122" spans="1:22" x14ac:dyDescent="0.25">
      <c r="A122" s="121"/>
      <c r="B122" s="141"/>
      <c r="C122" s="163"/>
      <c r="D122" s="247"/>
      <c r="E122" s="274" t="str">
        <f>S121</f>
        <v/>
      </c>
      <c r="H122" s="248"/>
      <c r="I122" s="237"/>
      <c r="J122" s="237"/>
      <c r="K122" s="237"/>
      <c r="L122" s="237"/>
      <c r="M122" s="303"/>
      <c r="N122" s="141"/>
      <c r="O122" s="121"/>
      <c r="Q122" s="535" t="s">
        <v>170</v>
      </c>
      <c r="R122" s="536" t="str">
        <f>IF(R112="nei","ja","nei")</f>
        <v>nei</v>
      </c>
      <c r="S122" s="537"/>
      <c r="T122" s="537"/>
      <c r="U122" s="537"/>
      <c r="V122" s="537"/>
    </row>
    <row r="123" spans="1:22" ht="8.1" customHeight="1" x14ac:dyDescent="0.25">
      <c r="A123" s="121"/>
      <c r="B123" s="141"/>
      <c r="C123" s="163"/>
      <c r="D123" s="247"/>
      <c r="H123" s="248"/>
      <c r="I123" s="237"/>
      <c r="J123" s="237"/>
      <c r="K123" s="237"/>
      <c r="L123" s="237"/>
      <c r="M123" s="303"/>
      <c r="N123" s="141"/>
      <c r="O123" s="121"/>
      <c r="Q123" s="537"/>
      <c r="R123" s="537"/>
      <c r="S123" s="537"/>
      <c r="T123" s="537"/>
      <c r="U123" s="537"/>
      <c r="V123" s="537"/>
    </row>
    <row r="124" spans="1:22" ht="16.5" customHeight="1" thickBot="1" x14ac:dyDescent="0.35">
      <c r="A124" s="121"/>
      <c r="B124" s="141"/>
      <c r="C124" s="163"/>
      <c r="D124" s="247"/>
      <c r="E124" s="208" t="str" cm="1">
        <f t="array" ref="E124">IF(R122="ja",Q124:Q125,"")</f>
        <v/>
      </c>
      <c r="F124" s="120">
        <v>9</v>
      </c>
      <c r="G124" s="250" t="s">
        <v>90</v>
      </c>
      <c r="H124" s="248"/>
      <c r="I124" s="245" t="str">
        <f>S124</f>
        <v/>
      </c>
      <c r="J124" s="237"/>
      <c r="K124" s="237"/>
      <c r="L124" s="237"/>
      <c r="M124" s="303"/>
      <c r="N124" s="141"/>
      <c r="O124" s="121"/>
      <c r="Q124" s="550" t="str" cm="1">
        <f t="array" ref="Q124">_xlfn.IFS(
V113&lt;2022,"",
V124="",TEXT(U124,"dd.mm.åååå"),
TRUE,"antall dager fra "&amp;TEXT(U124,"dd.mm.åååå")&amp;" til "&amp;TEXT(V124,"dd.mm.åååå"))</f>
        <v/>
      </c>
      <c r="R124" s="538">
        <f>F124</f>
        <v>9</v>
      </c>
      <c r="S124" s="251" t="str" cm="1">
        <f t="array" ref="S124">_xlfn.IFS(R122="nei","",F124="",$R$9,F124&gt;T124,"* antall  kan ikke overstige "&amp;T124&amp;" dag"&amp;IF(T124&gt;1,"er",""),TRUE,"")</f>
        <v/>
      </c>
      <c r="T124" s="556">
        <f>IFERROR(V124-U124,0)+1</f>
        <v>183</v>
      </c>
      <c r="U124" s="545" cm="1">
        <f t="array" ref="U124">_xlfn.IFS(AND(V111=7,V112=1),"",V111&lt;R111,DATE(YEAR(U116),7,1),TRUE,DATE(YEAR(U116)+1,7,1))</f>
        <v>183</v>
      </c>
      <c r="V124" s="545" cm="1">
        <f t="array" ref="V124">_xlfn.IFS(U124="","",AND(V111=7,V112=2),"",TRUE,V116)</f>
        <v>365</v>
      </c>
    </row>
    <row r="125" spans="1:22" ht="16.5" customHeight="1" thickTop="1" x14ac:dyDescent="0.25">
      <c r="A125" s="121"/>
      <c r="B125" s="141"/>
      <c r="C125" s="163"/>
      <c r="D125" s="247"/>
      <c r="E125" s="208"/>
      <c r="F125" s="555" t="str">
        <f>IF(R122="ja",R125,"")</f>
        <v/>
      </c>
      <c r="G125" s="278"/>
      <c r="H125" s="248"/>
      <c r="I125" s="237"/>
      <c r="J125" s="237"/>
      <c r="K125" s="237"/>
      <c r="L125" s="237"/>
      <c r="M125" s="303"/>
      <c r="N125" s="141"/>
      <c r="O125" s="121"/>
      <c r="Q125" s="550" t="str">
        <f>"døgnsats for "&amp;V113&amp;T125</f>
        <v>døgnsats for 1900</v>
      </c>
      <c r="R125" s="551" t="str">
        <f>_xlfn.XLOOKUP(V113,Innstillinger!$B$38:$B$44,Besøksjem,"-")</f>
        <v>-</v>
      </c>
      <c r="S125" s="234" t="str">
        <f>IF(F125&gt;0,_xlfn.XLOOKUP(V113,Innstillinger!$B$38:$B$44,Innstillinger!$I$38:$I$44,""),"")</f>
        <v/>
      </c>
      <c r="T125" s="544" t="str">
        <f>IF(_xlfn.XLOOKUP(V113,Innstillinger!$B$38:$B$44,Innstillinger!$J$38:$J$44,"")="-","*","")</f>
        <v/>
      </c>
      <c r="U125" s="537"/>
      <c r="V125" s="537"/>
    </row>
    <row r="126" spans="1:22" x14ac:dyDescent="0.25">
      <c r="A126" s="121"/>
      <c r="B126" s="141"/>
      <c r="C126" s="163"/>
      <c r="D126" s="247"/>
      <c r="E126" s="274" t="str">
        <f>S125</f>
        <v/>
      </c>
      <c r="H126" s="248"/>
      <c r="I126" s="237"/>
      <c r="J126" s="237"/>
      <c r="K126" s="237"/>
      <c r="L126" s="237"/>
      <c r="M126" s="303"/>
      <c r="N126" s="141"/>
      <c r="O126" s="121"/>
      <c r="Q126" s="537"/>
      <c r="R126" s="539"/>
      <c r="S126" s="537"/>
      <c r="T126" s="537"/>
      <c r="U126" s="537"/>
      <c r="V126" s="537"/>
    </row>
    <row r="127" spans="1:22" ht="5.25" customHeight="1" x14ac:dyDescent="0.25">
      <c r="A127" s="121"/>
      <c r="B127" s="141"/>
      <c r="C127" s="163"/>
      <c r="D127" s="247"/>
      <c r="E127" s="208"/>
      <c r="F127" s="281"/>
      <c r="G127" s="281"/>
      <c r="H127" s="248"/>
      <c r="I127" s="237"/>
      <c r="J127" s="237"/>
      <c r="K127" s="237"/>
      <c r="L127" s="237"/>
      <c r="M127" s="303"/>
      <c r="N127" s="141"/>
      <c r="O127" s="121"/>
      <c r="Q127" s="537"/>
      <c r="R127" s="539"/>
      <c r="S127" s="537"/>
      <c r="T127" s="537"/>
      <c r="U127" s="537"/>
      <c r="V127" s="537"/>
    </row>
    <row r="128" spans="1:22" ht="18.75" x14ac:dyDescent="0.25">
      <c r="A128" s="121"/>
      <c r="B128" s="141"/>
      <c r="C128" s="163"/>
      <c r="D128" s="283"/>
      <c r="E128" s="284" t="s">
        <v>125</v>
      </c>
      <c r="F128" s="285" t="str">
        <f>R128</f>
        <v/>
      </c>
      <c r="G128" s="286"/>
      <c r="H128" s="287"/>
      <c r="I128" s="237"/>
      <c r="J128" s="237"/>
      <c r="K128" s="237"/>
      <c r="L128" s="237"/>
      <c r="M128" s="303"/>
      <c r="N128" s="141"/>
      <c r="O128" s="121"/>
      <c r="Q128" s="234" t="str">
        <f t="shared" ref="Q128" si="7">E128</f>
        <v>Totalkostnad</v>
      </c>
      <c r="R128" s="538" t="str">
        <f>IF(R119="NEI","",R120*R121+IF(R112="Nei",R124*R125,0))</f>
        <v/>
      </c>
      <c r="S128" s="234"/>
      <c r="T128" s="544"/>
      <c r="U128" s="545"/>
      <c r="V128" s="545"/>
    </row>
    <row r="129" spans="1:21" x14ac:dyDescent="0.25">
      <c r="A129" s="121"/>
      <c r="B129" s="141"/>
      <c r="C129" s="163"/>
      <c r="D129" s="256"/>
      <c r="E129" s="288"/>
      <c r="F129" s="288"/>
      <c r="G129" s="288"/>
      <c r="H129" s="289"/>
      <c r="I129" s="237"/>
      <c r="J129" s="237"/>
      <c r="K129" s="237"/>
      <c r="L129" s="237"/>
      <c r="M129" s="303"/>
      <c r="N129" s="141"/>
      <c r="O129" s="121"/>
    </row>
    <row r="130" spans="1:21" ht="8.1" customHeight="1" x14ac:dyDescent="0.25">
      <c r="A130" s="121"/>
      <c r="B130" s="141"/>
      <c r="C130" s="163"/>
      <c r="D130" s="164"/>
      <c r="E130" s="236"/>
      <c r="F130" s="236"/>
      <c r="G130" s="236"/>
      <c r="H130" s="236"/>
      <c r="I130" s="237"/>
      <c r="J130" s="237"/>
      <c r="K130" s="237"/>
      <c r="L130" s="237"/>
      <c r="M130" s="303"/>
      <c r="N130" s="141"/>
      <c r="O130" s="121"/>
    </row>
    <row r="131" spans="1:21" x14ac:dyDescent="0.25">
      <c r="A131" s="121"/>
      <c r="B131" s="141"/>
      <c r="C131" s="163"/>
      <c r="D131" s="452"/>
      <c r="E131" s="81" t="str">
        <f>IF(E132="","Skriv kommentar:","")</f>
        <v>Skriv kommentar:</v>
      </c>
      <c r="F131" s="81"/>
      <c r="G131" s="81"/>
      <c r="H131" s="82"/>
      <c r="I131" s="465"/>
      <c r="J131" s="465"/>
      <c r="M131" s="166"/>
      <c r="N131" s="141"/>
      <c r="O131" s="121"/>
      <c r="Q131" s="557"/>
      <c r="R131" s="558"/>
      <c r="S131" s="232"/>
    </row>
    <row r="132" spans="1:21" x14ac:dyDescent="0.25">
      <c r="A132" s="121"/>
      <c r="B132" s="141"/>
      <c r="C132" s="163"/>
      <c r="D132" s="454"/>
      <c r="E132" s="753"/>
      <c r="F132" s="753"/>
      <c r="G132" s="753"/>
      <c r="H132" s="455"/>
      <c r="I132" s="465"/>
      <c r="J132" s="465"/>
      <c r="M132" s="166"/>
      <c r="N132" s="141"/>
      <c r="O132" s="121"/>
      <c r="Q132" s="340"/>
      <c r="R132" s="558"/>
      <c r="S132" s="232"/>
    </row>
    <row r="133" spans="1:21" x14ac:dyDescent="0.25">
      <c r="A133" s="121"/>
      <c r="B133" s="141"/>
      <c r="C133" s="163"/>
      <c r="D133" s="454"/>
      <c r="E133" s="753"/>
      <c r="F133" s="753"/>
      <c r="G133" s="753"/>
      <c r="H133" s="455"/>
      <c r="I133" s="465"/>
      <c r="J133" s="465"/>
      <c r="M133" s="166"/>
      <c r="N133" s="141"/>
      <c r="O133" s="121"/>
      <c r="U133" s="232"/>
    </row>
    <row r="134" spans="1:21" x14ac:dyDescent="0.25">
      <c r="A134" s="121"/>
      <c r="B134" s="141"/>
      <c r="C134" s="163"/>
      <c r="D134" s="454"/>
      <c r="E134" s="753"/>
      <c r="F134" s="753"/>
      <c r="G134" s="753"/>
      <c r="H134" s="455"/>
      <c r="I134" s="465"/>
      <c r="J134" s="465"/>
      <c r="M134" s="166"/>
      <c r="N134" s="141"/>
      <c r="O134" s="121"/>
      <c r="U134" s="232"/>
    </row>
    <row r="135" spans="1:21" x14ac:dyDescent="0.25">
      <c r="A135" s="121"/>
      <c r="B135" s="141"/>
      <c r="C135" s="163"/>
      <c r="D135" s="454"/>
      <c r="E135" s="753"/>
      <c r="F135" s="753"/>
      <c r="G135" s="753"/>
      <c r="H135" s="455"/>
      <c r="I135" s="465"/>
      <c r="J135" s="465"/>
      <c r="M135" s="166"/>
      <c r="N135" s="141"/>
      <c r="O135" s="121"/>
      <c r="R135" s="291"/>
      <c r="S135" s="559"/>
      <c r="T135" s="559"/>
    </row>
    <row r="136" spans="1:21" x14ac:dyDescent="0.25">
      <c r="A136" s="121"/>
      <c r="B136" s="141"/>
      <c r="C136" s="163"/>
      <c r="D136" s="458"/>
      <c r="E136" s="754"/>
      <c r="F136" s="754"/>
      <c r="G136" s="754"/>
      <c r="H136" s="459"/>
      <c r="I136" s="465"/>
      <c r="J136" s="465"/>
      <c r="M136" s="166"/>
      <c r="N136" s="141"/>
      <c r="O136" s="121"/>
      <c r="R136" s="291"/>
      <c r="S136" s="232"/>
      <c r="T136" s="232"/>
    </row>
    <row r="137" spans="1:21" x14ac:dyDescent="0.25">
      <c r="A137" s="121"/>
      <c r="B137" s="141"/>
      <c r="C137" s="304"/>
      <c r="D137" s="305"/>
      <c r="E137" s="306"/>
      <c r="F137" s="306"/>
      <c r="G137" s="306"/>
      <c r="H137" s="306"/>
      <c r="I137" s="307"/>
      <c r="J137" s="307"/>
      <c r="K137" s="307"/>
      <c r="L137" s="307"/>
      <c r="M137" s="308"/>
      <c r="N137" s="141"/>
      <c r="O137" s="121"/>
      <c r="R137" s="291"/>
      <c r="S137" s="232"/>
      <c r="T137" s="232"/>
      <c r="U137" s="340"/>
    </row>
    <row r="138" spans="1:21" ht="15" customHeight="1" x14ac:dyDescent="0.25">
      <c r="A138" s="121"/>
      <c r="B138" s="141"/>
      <c r="C138" s="141"/>
      <c r="D138" s="141"/>
      <c r="E138" s="141"/>
      <c r="F138" s="141"/>
      <c r="G138" s="141"/>
      <c r="H138" s="141"/>
      <c r="I138" s="613"/>
      <c r="J138" s="613"/>
      <c r="K138" s="141"/>
      <c r="L138" s="141"/>
      <c r="M138" s="141"/>
      <c r="N138" s="141"/>
      <c r="O138" s="121"/>
      <c r="R138" s="556"/>
    </row>
    <row r="139" spans="1:21" ht="6" customHeight="1" x14ac:dyDescent="0.25">
      <c r="A139" s="121"/>
      <c r="B139" s="124"/>
      <c r="C139" s="124"/>
      <c r="D139" s="124"/>
      <c r="E139" s="124"/>
      <c r="F139" s="124"/>
      <c r="G139" s="124"/>
      <c r="H139" s="124"/>
      <c r="I139" s="124"/>
      <c r="J139" s="124"/>
      <c r="K139" s="124"/>
      <c r="L139" s="124"/>
      <c r="M139" s="124"/>
      <c r="N139" s="121"/>
      <c r="O139" s="121"/>
    </row>
    <row r="140" spans="1:21" ht="15" customHeight="1" x14ac:dyDescent="0.25">
      <c r="A140" s="121"/>
      <c r="B140" s="141"/>
      <c r="C140" s="141"/>
      <c r="D140" s="141"/>
      <c r="E140" s="141"/>
      <c r="F140" s="141"/>
      <c r="G140" s="141"/>
      <c r="H140" s="141"/>
      <c r="I140" s="613"/>
      <c r="J140" s="613"/>
      <c r="K140" s="141"/>
      <c r="L140" s="141"/>
      <c r="M140" s="141"/>
      <c r="N140" s="141"/>
      <c r="O140" s="121"/>
    </row>
    <row r="141" spans="1:21" x14ac:dyDescent="0.25">
      <c r="A141" s="121"/>
      <c r="B141" s="141"/>
      <c r="C141" s="310"/>
      <c r="D141" s="311"/>
      <c r="E141" s="312"/>
      <c r="F141" s="312"/>
      <c r="G141" s="312"/>
      <c r="H141" s="312"/>
      <c r="I141" s="313"/>
      <c r="J141" s="313"/>
      <c r="K141" s="313"/>
      <c r="L141" s="313"/>
      <c r="M141" s="314"/>
      <c r="N141" s="141"/>
      <c r="O141" s="121"/>
    </row>
    <row r="142" spans="1:21" ht="21" x14ac:dyDescent="0.35">
      <c r="A142" s="121"/>
      <c r="B142" s="141"/>
      <c r="C142" s="163"/>
      <c r="D142" s="164"/>
      <c r="E142" s="238" t="s">
        <v>175</v>
      </c>
      <c r="F142" s="208"/>
      <c r="G142" s="208"/>
      <c r="M142" s="166"/>
      <c r="N142" s="141"/>
      <c r="O142" s="121"/>
    </row>
    <row r="143" spans="1:21" ht="8.1" customHeight="1" x14ac:dyDescent="0.25">
      <c r="A143" s="121"/>
      <c r="B143" s="141"/>
      <c r="C143" s="163"/>
      <c r="D143" s="164"/>
      <c r="E143" s="236"/>
      <c r="F143" s="236"/>
      <c r="G143" s="236"/>
      <c r="H143" s="236"/>
      <c r="I143" s="237"/>
      <c r="J143" s="237"/>
      <c r="K143" s="237"/>
      <c r="L143" s="237"/>
      <c r="M143" s="303"/>
      <c r="N143" s="141"/>
      <c r="O143" s="121"/>
    </row>
    <row r="144" spans="1:21" x14ac:dyDescent="0.25">
      <c r="A144" s="121"/>
      <c r="B144" s="141"/>
      <c r="C144" s="163"/>
      <c r="D144" s="241"/>
      <c r="E144" s="264"/>
      <c r="F144" s="264"/>
      <c r="G144" s="264"/>
      <c r="H144" s="244"/>
      <c r="I144" s="237"/>
      <c r="J144" s="237"/>
      <c r="K144" s="237"/>
      <c r="L144" s="237"/>
      <c r="M144" s="303"/>
      <c r="N144" s="141"/>
      <c r="O144" s="121"/>
      <c r="Q144" s="535" t="s">
        <v>158</v>
      </c>
      <c r="R144" s="536" t="str">
        <f>IF(S145&amp;S146&amp;S147="","ja","nei")</f>
        <v>nei</v>
      </c>
      <c r="S144" s="537"/>
    </row>
    <row r="145" spans="1:22" ht="16.5" thickBot="1" x14ac:dyDescent="0.35">
      <c r="A145" s="121"/>
      <c r="B145" s="141"/>
      <c r="C145" s="163"/>
      <c r="D145" s="247"/>
      <c r="E145" s="373" t="s">
        <v>89</v>
      </c>
      <c r="F145" s="665"/>
      <c r="G145" s="250" t="s">
        <v>90</v>
      </c>
      <c r="H145" s="271"/>
      <c r="I145" s="237" t="str">
        <f t="shared" ref="I145:I146" si="8">S145</f>
        <v xml:space="preserve">*obligatorisk </v>
      </c>
      <c r="J145" s="237"/>
      <c r="K145" s="237"/>
      <c r="L145" s="237"/>
      <c r="M145" s="303"/>
      <c r="N145" s="141"/>
      <c r="O145" s="121"/>
      <c r="Q145" s="234" t="str">
        <f>E145</f>
        <v>Tiltaksnavn</v>
      </c>
      <c r="R145" s="537"/>
      <c r="S145" s="251" t="str" cm="1">
        <f t="array" ref="S145">_xlfn.IFS(F145="",$R$9,TRUE,"")</f>
        <v xml:space="preserve">*obligatorisk </v>
      </c>
    </row>
    <row r="146" spans="1:22" ht="17.25" thickTop="1" thickBot="1" x14ac:dyDescent="0.35">
      <c r="A146" s="121"/>
      <c r="B146" s="141"/>
      <c r="C146" s="163"/>
      <c r="D146" s="247"/>
      <c r="E146" s="373" t="s">
        <v>176</v>
      </c>
      <c r="F146" s="653"/>
      <c r="G146" s="250" t="s">
        <v>90</v>
      </c>
      <c r="H146" s="271"/>
      <c r="I146" s="237" t="str">
        <f t="shared" si="8"/>
        <v xml:space="preserve">*obligatorisk </v>
      </c>
      <c r="J146" s="237"/>
      <c r="K146" s="237"/>
      <c r="L146" s="237"/>
      <c r="M146" s="303"/>
      <c r="N146" s="141"/>
      <c r="O146" s="121"/>
      <c r="Q146" s="234" t="str">
        <f t="shared" ref="Q146:Q147" si="9">E146</f>
        <v>timesats</v>
      </c>
      <c r="R146" s="560">
        <f>F146</f>
        <v>0</v>
      </c>
      <c r="S146" s="251" t="str" cm="1">
        <f t="array" ref="S146">_xlfn.IFS(F146="",$R$9,TRUE,"")</f>
        <v xml:space="preserve">*obligatorisk </v>
      </c>
    </row>
    <row r="147" spans="1:22" ht="17.25" thickTop="1" thickBot="1" x14ac:dyDescent="0.35">
      <c r="A147" s="121"/>
      <c r="B147" s="141"/>
      <c r="C147" s="163"/>
      <c r="D147" s="247"/>
      <c r="E147" s="387" t="s">
        <v>95</v>
      </c>
      <c r="F147" s="671"/>
      <c r="G147" s="250" t="s">
        <v>90</v>
      </c>
      <c r="H147" s="271"/>
      <c r="I147" s="237" t="str">
        <f>S147</f>
        <v xml:space="preserve">*obligatorisk </v>
      </c>
      <c r="J147" s="237"/>
      <c r="K147" s="237"/>
      <c r="L147" s="237"/>
      <c r="M147" s="303"/>
      <c r="N147" s="141"/>
      <c r="O147" s="121"/>
      <c r="Q147" s="234" t="str">
        <f t="shared" si="9"/>
        <v xml:space="preserve">arbeidstimer totalt </v>
      </c>
      <c r="R147" s="538">
        <f>F147</f>
        <v>0</v>
      </c>
      <c r="S147" s="251" t="str" cm="1">
        <f t="array" ref="S147">_xlfn.IFS(F147="",$R$9,TRUE,"")</f>
        <v xml:space="preserve">*obligatorisk </v>
      </c>
    </row>
    <row r="148" spans="1:22" ht="5.25" customHeight="1" thickTop="1" x14ac:dyDescent="0.25">
      <c r="A148" s="121"/>
      <c r="B148" s="141"/>
      <c r="C148" s="163"/>
      <c r="D148" s="247"/>
      <c r="E148" s="208"/>
      <c r="F148" s="281"/>
      <c r="G148" s="281"/>
      <c r="H148" s="248"/>
      <c r="I148" s="237"/>
      <c r="J148" s="237"/>
      <c r="M148" s="166"/>
      <c r="N148" s="141"/>
      <c r="O148" s="121"/>
      <c r="Q148" s="537"/>
      <c r="R148" s="539"/>
      <c r="S148" s="537"/>
    </row>
    <row r="149" spans="1:22" ht="18.75" x14ac:dyDescent="0.25">
      <c r="A149" s="121"/>
      <c r="B149" s="141"/>
      <c r="C149" s="163"/>
      <c r="D149" s="283"/>
      <c r="E149" s="284" t="s">
        <v>125</v>
      </c>
      <c r="F149" s="285" t="str">
        <f>R149</f>
        <v xml:space="preserve"> </v>
      </c>
      <c r="G149" s="286"/>
      <c r="H149" s="287"/>
      <c r="I149" s="408"/>
      <c r="J149" s="408"/>
      <c r="K149" s="236"/>
      <c r="L149" s="236"/>
      <c r="M149" s="166"/>
      <c r="N149" s="141"/>
      <c r="O149" s="121"/>
      <c r="Q149" s="537"/>
      <c r="R149" s="539" t="str">
        <f>IF(R144="ja",R146*R147," ")</f>
        <v xml:space="preserve"> </v>
      </c>
      <c r="S149" s="537"/>
    </row>
    <row r="150" spans="1:22" ht="8.1" customHeight="1" x14ac:dyDescent="0.25">
      <c r="A150" s="121"/>
      <c r="B150" s="141"/>
      <c r="C150" s="163"/>
      <c r="D150" s="256"/>
      <c r="E150" s="288"/>
      <c r="F150" s="288"/>
      <c r="G150" s="288"/>
      <c r="H150" s="289"/>
      <c r="I150" s="408"/>
      <c r="J150" s="408"/>
      <c r="K150" s="236"/>
      <c r="L150" s="236"/>
      <c r="M150" s="166"/>
      <c r="N150" s="141"/>
      <c r="O150" s="121"/>
      <c r="Q150" s="234"/>
      <c r="R150" s="538"/>
      <c r="S150" s="234"/>
    </row>
    <row r="151" spans="1:22" ht="8.1" customHeight="1" x14ac:dyDescent="0.25">
      <c r="A151" s="121"/>
      <c r="B151" s="141"/>
      <c r="C151" s="163"/>
      <c r="D151" s="164"/>
      <c r="E151" s="236"/>
      <c r="F151" s="236"/>
      <c r="G151" s="236"/>
      <c r="H151" s="236"/>
      <c r="I151" s="408"/>
      <c r="J151" s="408"/>
      <c r="K151" s="236"/>
      <c r="L151" s="236"/>
      <c r="M151" s="166"/>
      <c r="N151" s="141"/>
      <c r="O151" s="121"/>
      <c r="R151" s="561"/>
    </row>
    <row r="152" spans="1:22" x14ac:dyDescent="0.25">
      <c r="A152" s="121"/>
      <c r="B152" s="141"/>
      <c r="C152" s="163"/>
      <c r="D152" s="452"/>
      <c r="E152" s="81" t="str">
        <f>IF(E153="","Skriv kommentar:","")</f>
        <v>Skriv kommentar:</v>
      </c>
      <c r="F152" s="81"/>
      <c r="G152" s="81"/>
      <c r="H152" s="82"/>
      <c r="I152" s="465"/>
      <c r="J152" s="465"/>
      <c r="M152" s="166"/>
      <c r="N152" s="141"/>
      <c r="O152" s="121"/>
      <c r="Q152" s="557"/>
      <c r="R152" s="558"/>
      <c r="S152" s="232"/>
    </row>
    <row r="153" spans="1:22" x14ac:dyDescent="0.25">
      <c r="A153" s="121"/>
      <c r="B153" s="141"/>
      <c r="C153" s="163"/>
      <c r="D153" s="454"/>
      <c r="E153" s="753"/>
      <c r="F153" s="753"/>
      <c r="G153" s="753"/>
      <c r="H153" s="455"/>
      <c r="I153" s="465"/>
      <c r="J153" s="465"/>
      <c r="M153" s="166"/>
      <c r="N153" s="141"/>
      <c r="O153" s="121"/>
      <c r="Q153" s="340"/>
      <c r="R153" s="558"/>
      <c r="S153" s="232"/>
    </row>
    <row r="154" spans="1:22" x14ac:dyDescent="0.25">
      <c r="A154" s="121"/>
      <c r="B154" s="141"/>
      <c r="C154" s="163"/>
      <c r="D154" s="454"/>
      <c r="E154" s="753"/>
      <c r="F154" s="753"/>
      <c r="G154" s="753"/>
      <c r="H154" s="455"/>
      <c r="I154" s="465"/>
      <c r="J154" s="465"/>
      <c r="M154" s="166"/>
      <c r="N154" s="141"/>
      <c r="O154" s="121"/>
      <c r="U154" s="232"/>
    </row>
    <row r="155" spans="1:22" x14ac:dyDescent="0.25">
      <c r="A155" s="121"/>
      <c r="B155" s="141"/>
      <c r="C155" s="163"/>
      <c r="D155" s="454"/>
      <c r="E155" s="753"/>
      <c r="F155" s="753"/>
      <c r="G155" s="753"/>
      <c r="H155" s="455"/>
      <c r="I155" s="465"/>
      <c r="J155" s="465"/>
      <c r="M155" s="166"/>
      <c r="N155" s="141"/>
      <c r="O155" s="121"/>
      <c r="U155" s="232"/>
    </row>
    <row r="156" spans="1:22" x14ac:dyDescent="0.25">
      <c r="A156" s="121"/>
      <c r="B156" s="141"/>
      <c r="C156" s="163"/>
      <c r="D156" s="458"/>
      <c r="E156" s="754"/>
      <c r="F156" s="754"/>
      <c r="G156" s="754"/>
      <c r="H156" s="459"/>
      <c r="I156" s="465"/>
      <c r="J156" s="465"/>
      <c r="M156" s="303"/>
      <c r="N156" s="141"/>
      <c r="O156" s="121"/>
      <c r="R156" s="291"/>
      <c r="S156" s="232"/>
      <c r="T156" s="232"/>
    </row>
    <row r="157" spans="1:22" ht="8.1" customHeight="1" x14ac:dyDescent="0.25">
      <c r="A157" s="121"/>
      <c r="B157" s="141"/>
      <c r="C157" s="304"/>
      <c r="D157" s="305"/>
      <c r="E157" s="306"/>
      <c r="F157" s="306"/>
      <c r="G157" s="306"/>
      <c r="H157" s="306"/>
      <c r="I157" s="307"/>
      <c r="J157" s="307"/>
      <c r="K157" s="307"/>
      <c r="L157" s="307"/>
      <c r="M157" s="308"/>
      <c r="N157" s="141"/>
      <c r="O157" s="121"/>
      <c r="R157" s="291"/>
      <c r="S157" s="232"/>
      <c r="T157" s="232"/>
      <c r="U157" s="340"/>
    </row>
    <row r="158" spans="1:22" customFormat="1" x14ac:dyDescent="0.25">
      <c r="A158" s="121"/>
      <c r="B158" s="141"/>
      <c r="C158" s="310"/>
      <c r="D158" s="711"/>
      <c r="E158" s="711"/>
      <c r="F158" s="711"/>
      <c r="G158" s="711"/>
      <c r="H158" s="711"/>
      <c r="I158" s="712"/>
      <c r="J158" s="712"/>
      <c r="K158" s="713"/>
      <c r="L158" s="713"/>
      <c r="M158" s="314"/>
      <c r="N158" s="141"/>
      <c r="O158" s="121"/>
      <c r="P158" s="127"/>
      <c r="Q158" s="127"/>
      <c r="R158" s="210"/>
      <c r="S158" s="210"/>
      <c r="T158" s="210"/>
      <c r="U158" s="210"/>
      <c r="V158" s="210"/>
    </row>
    <row r="159" spans="1:22" customFormat="1" x14ac:dyDescent="0.25">
      <c r="A159" s="121"/>
      <c r="B159" s="141"/>
      <c r="C159" s="163"/>
      <c r="D159" s="740" t="s">
        <v>287</v>
      </c>
      <c r="E159" s="741"/>
      <c r="F159" s="741"/>
      <c r="G159" s="741"/>
      <c r="H159" s="741"/>
      <c r="I159" s="737" t="s">
        <v>288</v>
      </c>
      <c r="J159" s="737"/>
      <c r="K159" s="617" t="s">
        <v>289</v>
      </c>
      <c r="L159" s="618"/>
      <c r="M159" s="303"/>
      <c r="N159" s="141"/>
      <c r="O159" s="121"/>
      <c r="P159" s="127"/>
      <c r="Q159" s="127"/>
      <c r="R159" s="210"/>
      <c r="S159" s="210"/>
      <c r="T159" s="210"/>
      <c r="U159" s="210"/>
      <c r="V159" s="210"/>
    </row>
    <row r="160" spans="1:22" customFormat="1" ht="38.25" customHeight="1" x14ac:dyDescent="0.25">
      <c r="A160" s="121"/>
      <c r="B160" s="141"/>
      <c r="C160" s="163"/>
      <c r="D160" s="619"/>
      <c r="E160" s="742"/>
      <c r="F160" s="742"/>
      <c r="G160" s="742"/>
      <c r="H160" s="743"/>
      <c r="I160" s="762"/>
      <c r="J160" s="763"/>
      <c r="K160" s="715"/>
      <c r="L160" s="700"/>
      <c r="M160" s="303"/>
      <c r="N160" s="141"/>
      <c r="O160" s="121"/>
      <c r="P160" s="127"/>
      <c r="Q160" s="127"/>
      <c r="R160" s="210"/>
      <c r="S160" s="210"/>
      <c r="T160" s="210"/>
      <c r="U160" s="210"/>
      <c r="V160" s="210"/>
    </row>
    <row r="161" spans="1:22" customFormat="1" x14ac:dyDescent="0.25">
      <c r="A161" s="121"/>
      <c r="B161" s="141"/>
      <c r="C161" s="304"/>
      <c r="D161" s="703"/>
      <c r="E161" s="704"/>
      <c r="F161" s="704"/>
      <c r="G161" s="704"/>
      <c r="H161" s="703"/>
      <c r="I161" s="705"/>
      <c r="J161" s="705"/>
      <c r="K161" s="706"/>
      <c r="L161" s="706"/>
      <c r="M161" s="308"/>
      <c r="N161" s="141"/>
      <c r="O161" s="121"/>
      <c r="P161" s="127"/>
      <c r="Q161" s="127"/>
      <c r="R161" s="210"/>
      <c r="S161" s="210"/>
      <c r="T161" s="210"/>
      <c r="U161" s="210"/>
      <c r="V161" s="210"/>
    </row>
    <row r="162" spans="1:22" ht="15" customHeight="1" x14ac:dyDescent="0.25">
      <c r="A162" s="121"/>
      <c r="B162" s="141"/>
      <c r="C162" s="141"/>
      <c r="D162" s="141"/>
      <c r="E162" s="141"/>
      <c r="F162" s="141"/>
      <c r="G162" s="141"/>
      <c r="H162" s="141"/>
      <c r="I162" s="613"/>
      <c r="J162" s="613"/>
      <c r="K162" s="141"/>
      <c r="L162" s="141"/>
      <c r="M162" s="141"/>
      <c r="N162" s="141"/>
      <c r="O162" s="121"/>
      <c r="R162" s="556"/>
    </row>
    <row r="163" spans="1:22" ht="6" customHeight="1" x14ac:dyDescent="0.25">
      <c r="A163" s="121"/>
      <c r="B163" s="124"/>
      <c r="C163" s="124"/>
      <c r="D163" s="124"/>
      <c r="E163" s="124"/>
      <c r="F163" s="124"/>
      <c r="G163" s="124"/>
      <c r="H163" s="124"/>
      <c r="I163" s="124"/>
      <c r="J163" s="124"/>
      <c r="K163" s="124"/>
      <c r="L163" s="124"/>
      <c r="M163" s="124"/>
      <c r="N163" s="121"/>
      <c r="O163" s="121"/>
    </row>
  </sheetData>
  <sheetProtection algorithmName="SHA-512" hashValue="PjVLYe/VoBl2OIrfufrCGEpAxt/dVK4RaSVgpxBAZmmmgXRwnOPEk9mblhHaHhW66g1/7VPuE6MOfNC/jZx2XA==" saltValue="C0HiUxa5PuwolwdZqEz3yw==" spinCount="100000" sheet="1" objects="1" scenarios="1"/>
  <mergeCells count="18">
    <mergeCell ref="E64:G68"/>
    <mergeCell ref="E42:G46"/>
    <mergeCell ref="S6:U6"/>
    <mergeCell ref="E103:G107"/>
    <mergeCell ref="E132:G136"/>
    <mergeCell ref="D7:F10"/>
    <mergeCell ref="E82:E83"/>
    <mergeCell ref="I7:M10"/>
    <mergeCell ref="S7:U7"/>
    <mergeCell ref="D71:H71"/>
    <mergeCell ref="E72:H72"/>
    <mergeCell ref="I159:J159"/>
    <mergeCell ref="I160:J160"/>
    <mergeCell ref="I71:J71"/>
    <mergeCell ref="I72:J72"/>
    <mergeCell ref="E153:G156"/>
    <mergeCell ref="D159:H159"/>
    <mergeCell ref="E160:H160"/>
  </mergeCells>
  <conditionalFormatting sqref="E124:G125">
    <cfRule type="expression" dxfId="70" priority="25">
      <formula>$R$122="nei"</formula>
    </cfRule>
  </conditionalFormatting>
  <conditionalFormatting sqref="F1:F4 F152:F156">
    <cfRule type="expression" dxfId="69" priority="30">
      <formula>F1=0</formula>
    </cfRule>
  </conditionalFormatting>
  <conditionalFormatting sqref="F6">
    <cfRule type="expression" dxfId="68" priority="29">
      <formula>F6=0</formula>
    </cfRule>
  </conditionalFormatting>
  <conditionalFormatting sqref="F28:F30">
    <cfRule type="expression" dxfId="67" priority="38">
      <formula>F28=0</formula>
    </cfRule>
  </conditionalFormatting>
  <conditionalFormatting sqref="F34">
    <cfRule type="cellIs" dxfId="66" priority="1" operator="equal">
      <formula>0</formula>
    </cfRule>
    <cfRule type="expression" dxfId="65" priority="3">
      <formula>$F$33=0</formula>
    </cfRule>
  </conditionalFormatting>
  <conditionalFormatting sqref="F41:F46">
    <cfRule type="expression" dxfId="64" priority="9">
      <formula>F41=0</formula>
    </cfRule>
  </conditionalFormatting>
  <conditionalFormatting sqref="F55:F58">
    <cfRule type="expression" dxfId="63" priority="39">
      <formula>F55=0</formula>
    </cfRule>
  </conditionalFormatting>
  <conditionalFormatting sqref="F63:F69">
    <cfRule type="expression" dxfId="62" priority="5">
      <formula>F63=0</formula>
    </cfRule>
  </conditionalFormatting>
  <conditionalFormatting sqref="F73">
    <cfRule type="expression" dxfId="61" priority="4">
      <formula>F73=0</formula>
    </cfRule>
  </conditionalFormatting>
  <conditionalFormatting sqref="F102:F107">
    <cfRule type="expression" dxfId="60" priority="17">
      <formula>F102=0</formula>
    </cfRule>
  </conditionalFormatting>
  <conditionalFormatting sqref="F131:F136">
    <cfRule type="expression" dxfId="59" priority="64">
      <formula>F131=0</formula>
    </cfRule>
  </conditionalFormatting>
  <conditionalFormatting sqref="F145:F147">
    <cfRule type="expression" dxfId="58" priority="48">
      <formula>F145=0</formula>
    </cfRule>
  </conditionalFormatting>
  <conditionalFormatting sqref="F161">
    <cfRule type="expression" dxfId="57" priority="6">
      <formula>F161=0</formula>
    </cfRule>
  </conditionalFormatting>
  <conditionalFormatting sqref="F94:G96 G125">
    <cfRule type="expression" dxfId="56" priority="99">
      <formula>F94=""</formula>
    </cfRule>
  </conditionalFormatting>
  <dataValidations count="25">
    <dataValidation allowBlank="1" showErrorMessage="1" prompt="Dette er beregnet som_x000a__x000a_Årslønn x stillingsprosent x arbeidsuker i tilskuddsperioden / 52 uker, evt._x000a__x000a_Timelønn (før sos. utg) x arbeidstimer per uke x arbeidsuker i tilskuddperioden" sqref="F152 F131 F102 F63 F41" xr:uid="{04263CC4-EB5A-4E79-A417-E8F254AC301F}"/>
    <dataValidation allowBlank="1" showInputMessage="1" showErrorMessage="1" promptTitle="Utskrivningsdato" prompt="(dd.mm.åååå)_x000a__x000a_Oppgi xx" sqref="G86:G87 G117:G118" xr:uid="{3EE6A0DF-A2FE-4D5A-AEAD-572F76C046EA}"/>
    <dataValidation allowBlank="1" showErrorMessage="1" promptTitle="Tiltak" prompt="Oppgi hvilket tiltak i søknaden de(n) ansatte er brukt i, som «hjemmesykepleie»." sqref="F145" xr:uid="{57F299C8-39C9-4571-8CBA-8E57D3D5879D}"/>
    <dataValidation allowBlank="1" showInputMessage="1" showErrorMessage="1" errorTitle="Ugyldig verdi" error="Arbeidstimer per uke skal ikke overstige alminnelig arbeidstid." sqref="F146:F147 F55:F56 F29:F30" xr:uid="{9AB2C1AC-5327-43BD-B23B-0B3187E8D409}"/>
    <dataValidation allowBlank="1" showInputMessage="1" showErrorMessage="1" errorTitle="Ugyldig verdi" error="Velg riktig sats fra nedtrekksmenyen._x000a__x000a_Sone   Sats _x000a_I           14,1 %_x000a_II          10,6 %_x000a_III           6,4 %_x000a_IV           5,1 %_x000a_IVa         7,9 %_x000a_V            0,0 %_x000a_" promptTitle="Arbeidsgiveravgift" prompt="Oppgi satsen for arbeidsgiveravgift for din kommune. Arbeidsgiveravgiften er regionalt differensiert og fastsettes av Stortinget hvert år. _x000a__x000a_Klikk på linken til venstre for å finne riktig arbeidsgiveravgift for deres kommune._x000a_" sqref="G57" xr:uid="{BAE42C52-5420-47E8-946A-9DEE417CB38B}"/>
    <dataValidation type="whole" operator="greaterThanOrEqual" allowBlank="1" showInputMessage="1" showErrorMessage="1" errorTitle="Ugyldig verdi" error="Antall ansatte må kun være tall og minst 1. " promptTitle="Antall ansatte" prompt="Oppgi hvor mange ansatte denne beregningen gjelder for." sqref="G58" xr:uid="{5044A45B-0CF6-4AE0-AF34-428AA95E60F0}">
      <formula1>1</formula1>
    </dataValidation>
    <dataValidation allowBlank="1" showInputMessage="1" showErrorMessage="1" errorTitle="Ugyldig verdi" error="Feriepengersatsen må være 12% eller 14,2% av feriepengegrunnlaget. _x000a__x000a_Velg fra nedtrekksmenyen." promptTitle="Sats feriepenger" prompt="Velg &quot;12 %&quot; eller &quot;14,3 %&quot; - feriepengegrunnlag._x000a__x000a_Det vanligste er 12 %. 14,3 % brukes for ansatte over 60 år. Denne gruppen har rett på av 14,3 % av feriepengegrunnlaget ved seks ukers ferie." sqref="G32" xr:uid="{1E283BCC-9D2A-4218-80EB-53407791441C}"/>
    <dataValidation allowBlank="1" showInputMessage="1" showErrorMessage="1" promptTitle="Tiltaksnavn" prompt="Oppgi hvilket tiltak denne beregningen gjelder for, som «avlastning&quot; eller &quot;støttekontakt&quot;" sqref="G28" xr:uid="{49704C33-4729-406D-B3D1-F20D62BC49CA}"/>
    <dataValidation allowBlank="1" showInputMessage="1" showErrorMessage="1" promptTitle="Timesats" prompt="Oppgi riktig timesats for de(n) ansatte" sqref="G29 G146" xr:uid="{3E1E9EBC-F44C-4C31-B69F-135B4A643BA8}"/>
    <dataValidation allowBlank="1" showInputMessage="1" showErrorMessage="1" promptTitle="Arbeidstimer totalt" prompt="Oppgi totalt antall timer flyktningen får oppfølging i løpet av tilskuddsperioden." sqref="G30" xr:uid="{FB6CD583-CE58-498C-AF81-6F2D58A6A381}"/>
    <dataValidation allowBlank="1" showInputMessage="1" showErrorMessage="1" errorTitle="Ugyldig verdi" error="Velg riktig sats fra nedtrekksmenyen._x000a__x000a_Sone   Sats _x000a_I           14,1 %_x000a_II          10,6 %_x000a_III           6,4 %_x000a_IV           5,1 %_x000a_IVa         7,9 %_x000a_V            0,0 %_x000a_" promptTitle="Sats arbeidsgiveravgift" prompt="Oppgi satsen for arbeidsgiveravgift for din kommune. Avgiften er regionalt ulik og fastsettes av Stortinget hvert år. _x000a__x000a_Klikk på linken til venstre for å finne riktig arbeidsgiveravgift for deres kommune._x000a_" sqref="G35" xr:uid="{50644D0A-997B-4F24-8432-56BE4807438F}"/>
    <dataValidation allowBlank="1" showInputMessage="1" showErrorMessage="1" promptTitle="timesats i vedtaket" prompt="Oppgi timesatsen gitt i vedtaket om omsorgsstønad" sqref="G55" xr:uid="{AAA73D61-FD6A-4CC4-9DB1-B407AA715233}"/>
    <dataValidation allowBlank="1" showInputMessage="1" showErrorMessage="1" promptTitle="arbeidstimer totalt" prompt="Oppgi antall timer totalt med oppfølging i tilskuddsperioden" sqref="G56" xr:uid="{A5E288D0-6412-4A84-984A-D4AB5AC16B4D}"/>
    <dataValidation allowBlank="1" showInputMessage="1" showErrorMessage="1" promptTitle="fra:" prompt="Oppgi dato for når oppholdet i fosterhjemmet startet, innenfor den tilskuddsperioden dere søker om" sqref="G84" xr:uid="{61B43899-49A1-49F1-85DF-E0752BC89C1D}"/>
    <dataValidation allowBlank="1" showInputMessage="1" showErrorMessage="1" promptTitle="til:" prompt="Oppgi dato for når oppholdet i fosterhjemmet startet, innenfor den tilskuddsperioden dere søker om" sqref="G85" xr:uid="{032EF18B-5247-4F83-8095-879A7B600C82}"/>
    <dataValidation allowBlank="1" showInputMessage="1" showErrorMessage="1" promptTitle="Tilskuddsperiode startdato" prompt="Oppgi sstartdato for tilskuddsperioden dere søker om" sqref="G116" xr:uid="{73BE0AC2-4C9F-4B9B-A3BD-24D466AD2435}"/>
    <dataValidation allowBlank="1" showInputMessage="1" showErrorMessage="1" promptTitle="Antall dager " prompt="Oppgi antall dager flyktningen har oppholdt seg i besøkshjemmet, innenfor tilskuddsperioden dere søker om" sqref="G120" xr:uid="{E049E8DA-0581-48EB-983F-C6E013178247}"/>
    <dataValidation allowBlank="1" showInputMessage="1" showErrorMessage="1" promptTitle="Antall dager andre periode" prompt="Oppgi antall overnattinger flyktningen har i besøkshjemmet, for andre periode (se datoer)_x000a__x000a_Grunnen til at tilskuddsperioden deles i to, er fordi årene har ulik døgnsats." sqref="G124" xr:uid="{62821B96-B492-4795-8BBD-0EBA4D538921}"/>
    <dataValidation allowBlank="1" showInputMessage="1" showErrorMessage="1" promptTitle="Tiltaksnavn" prompt="Oppgi hvilket tiltak denne beregningen gjelder for" sqref="G145" xr:uid="{27749B49-4CB4-4CC6-927F-864968BD2581}"/>
    <dataValidation allowBlank="1" showInputMessage="1" showErrorMessage="1" promptTitle="Arbeidstimer totalt" prompt="Oppgi totalt antall timer flyktningen får oppfølging i løpet av tilskuddsperioden" sqref="G147" xr:uid="{9B8B9640-28E6-447C-B07D-439A500BFF7C}"/>
    <dataValidation type="date" operator="greaterThanOrEqual" allowBlank="1" showInputMessage="1" showErrorMessage="1" error="Oppgi en dato etter 30. juni 2022." sqref="F116 F84" xr:uid="{6564ACD2-8142-4FB0-AB4E-BFEEBBC99983}">
      <formula1>44743</formula1>
    </dataValidation>
    <dataValidation errorStyle="information" operator="lessThanOrEqual" allowBlank="1" showInputMessage="1" error="Du oppgir en høy pensjonssats - over 10%. Forklar hvorfor, og vis utregning i kommentarfeltet nederst. " promptTitle="ansattes egenandel for pensjon" prompt="Ansattes egenandel for grunnpremien er normalt 2 %. _x000a__x000a_Sett prosenten til 0 % dersom arbeidsgiver ikke trekker egenandel fra lønnen, og legg inn en kommentar om dette i feltet under._x000a_" sqref="G34" xr:uid="{F2A80C9D-EB6A-4821-93A8-AE25D90CBD51}"/>
    <dataValidation errorStyle="information" operator="lessThanOrEqual" allowBlank="1" showInputMessage="1" error="Du oppgir en høy pensjonssats - over 10%. Forklar hvorfor, og vis utregning i kommentarfeltet nederst. " promptTitle="sats pensjon" prompt="Grunnpremie for pensjon dekkes med 11 %_x000a__x000a_Avlastere og støttekontakt som er alderspensjonister og mottar AFP etter pensjonsordningens ordinære regler meldes ikke inn i pensjonsordningen (TPO). Sett prosenten til 0 % " sqref="G33" xr:uid="{E5D16841-5292-4F41-A438-0ED61A8DDFA1}"/>
    <dataValidation type="list" allowBlank="1" showInputMessage="1" showErrorMessage="1" sqref="F33" xr:uid="{89ABFB70-5AC0-4D68-BC3C-9C7EB5FDB295}">
      <formula1>$T$34:$T$36</formula1>
    </dataValidation>
    <dataValidation type="list" allowBlank="1" showInputMessage="1" showErrorMessage="1" sqref="F34" xr:uid="{CECE4232-A44E-4312-80F5-721C31CA44BF}">
      <formula1>IF($F$33=0,$T$32,$T$32:$T$33)</formula1>
    </dataValidation>
  </dataValidations>
  <hyperlinks>
    <hyperlink ref="E26" r:id="rId1" xr:uid="{C9CC54CC-F185-4448-879A-3749F16CA305}"/>
    <hyperlink ref="E58" r:id="rId2" display="Finn din kommunes differensierte avgiftssats her" xr:uid="{87FC8DC7-4B4D-4285-87D1-369C1A44D3D5}"/>
  </hyperlinks>
  <pageMargins left="0.70866141732283472" right="0.70866141732283472" top="0.74803149606299213" bottom="0.74803149606299213" header="0.31496062992125984" footer="0.31496062992125984"/>
  <pageSetup paperSize="9" scale="56" orientation="portrait" r:id="rId3"/>
  <rowBreaks count="1" manualBreakCount="1">
    <brk id="162" max="16383" man="1"/>
  </rowBreaks>
  <colBreaks count="1" manualBreakCount="1">
    <brk id="14" max="1048575" man="1"/>
  </colBreaks>
  <extLst>
    <ext xmlns:x14="http://schemas.microsoft.com/office/spreadsheetml/2009/9/main" uri="{CCE6A557-97BC-4b89-ADB6-D9C93CAAB3DF}">
      <x14:dataValidations xmlns:xm="http://schemas.microsoft.com/office/excel/2006/main" count="4">
        <x14:dataValidation type="list" allowBlank="1" showErrorMessage="1" errorTitle="Ugyldig verdi" error="Velg riktig sats fra nedtrekksmenyen._x000a__x000a_Sone   Sats _x000a_I           14,1 %_x000a_II          10,6 %_x000a_III           6,4 %_x000a_IV           5,1 %_x000a_IVa         7,9 %_x000a_V            0,0 %_x000a_" promptTitle="Arbeidsgiveravgift" prompt="Oppgi satsen for arbeidsgiveravgift for din kommune. Arbeidsgiveravgiften er regionalt differensiert og fastsettes av Stortinget hvert år. _x000a__x000a_Klikk på linken til venstre for å finne riktig arbeidsgiveravgift for deres kommune._x000a_" xr:uid="{4D1736E9-7D35-4134-B019-8839C8EE904A}">
          <x14:formula1>
            <xm:f>Innstillinger!$B$57:$B$63</xm:f>
          </x14:formula1>
          <xm:sqref>F57 F35</xm:sqref>
        </x14:dataValidation>
        <x14:dataValidation type="list" allowBlank="1" showInputMessage="1" showErrorMessage="1" errorTitle="Ugyldig verdi" error="Velg riktig svar fra nedtrekksmenyen." promptTitle="Alminnelig arbeidstid" prompt="Velg riktig ukentlig arbeidstid for den ansatte. Vanligst er 37,5t for tariffavtale, og 35,5t for turnus._x000a__x000a_Selv om den ansatte jobber deltid, skal dere oppgi antall timer personen ville hatt i en fullstilling i løpet av en uke." xr:uid="{7A7896AE-B69F-4657-BAC5-73E4B05B6279}">
          <x14:formula1>
            <xm:f>Innstillinger!$B$48:$B$53</xm:f>
          </x14:formula1>
          <xm:sqref>G58</xm:sqref>
        </x14:dataValidation>
        <x14:dataValidation type="list" allowBlank="1" showErrorMessage="1" errorTitle="Ugyldig verdi" error="Feriepengersatsen må være 12% eller 14,2% av feriepengegrunnlaget. _x000a__x000a_Velg fra nedtrekksmenyen." promptTitle="Feriepenger" prompt="Velg &quot;12 %&quot; eller &quot;14,3 %&quot; - feriepengegrunnlag._x000a__x000a_Det vanligste er 12 %. 14,3 % brukes for ansatte over 60 år. Denne gruppen har rett på av 14,3 % av feriepengegrunnlaget ved seks ukers ferie." xr:uid="{3629D352-FD8F-4B65-8F68-0B505AF789B4}">
          <x14:formula1>
            <xm:f>Innstillinger!$B$67:$B$69</xm:f>
          </x14:formula1>
          <xm:sqref>F32</xm:sqref>
        </x14:dataValidation>
        <x14:dataValidation type="list" allowBlank="1" showErrorMessage="1" promptTitle="Tiltak" prompt="Oppgi hvilket tiltak i søknaden de(n) ansatte er brukt i, som «hjemmesykepleie»." xr:uid="{38180A77-01F9-454F-B924-76C00F14BD6A}">
          <x14:formula1>
            <xm:f>Innstillinger!$B$75:$B$77</xm:f>
          </x14:formula1>
          <xm:sqref>F28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1CF18-C5E9-4F72-A3B7-23E2B055DA7F}">
  <sheetPr codeName="Ark4">
    <tabColor rgb="FFF2EFED"/>
    <pageSetUpPr autoPageBreaks="0" fitToPage="1"/>
  </sheetPr>
  <dimension ref="A1:X158"/>
  <sheetViews>
    <sheetView showGridLines="0" zoomScale="110" zoomScaleNormal="110" zoomScaleSheetLayoutView="85" workbookViewId="0">
      <pane ySplit="4" topLeftCell="A5" activePane="bottomLeft" state="frozen"/>
      <selection activeCell="E21" sqref="E21"/>
      <selection pane="bottomLeft"/>
    </sheetView>
  </sheetViews>
  <sheetFormatPr baseColWidth="10" defaultColWidth="0" defaultRowHeight="15" zeroHeight="1" x14ac:dyDescent="0.25"/>
  <cols>
    <col min="1" max="1" width="1.42578125" style="127" customWidth="1"/>
    <col min="2" max="3" width="4.28515625" style="127" customWidth="1"/>
    <col min="4" max="4" width="1.28515625" style="127" customWidth="1"/>
    <col min="5" max="5" width="45.7109375" style="127" customWidth="1"/>
    <col min="6" max="6" width="25.140625" style="127" customWidth="1"/>
    <col min="7" max="7" width="3.42578125" style="127" bestFit="1" customWidth="1"/>
    <col min="8" max="8" width="1.28515625" style="127" customWidth="1"/>
    <col min="9" max="9" width="12.85546875" style="127" customWidth="1"/>
    <col min="10" max="10" width="29.28515625" style="127" customWidth="1"/>
    <col min="11" max="11" width="1.28515625" style="127" customWidth="1"/>
    <col min="12" max="12" width="3.28515625" style="127" customWidth="1"/>
    <col min="13" max="13" width="4.28515625" style="127" customWidth="1"/>
    <col min="14" max="14" width="1.42578125" style="127" customWidth="1"/>
    <col min="15" max="15" width="11.42578125" style="127" hidden="1" customWidth="1"/>
    <col min="16" max="16" width="21" style="210" hidden="1" customWidth="1"/>
    <col min="17" max="17" width="12.140625" style="210" hidden="1" customWidth="1"/>
    <col min="18" max="20" width="10.28515625" style="210" hidden="1" customWidth="1"/>
    <col min="21" max="23" width="11.42578125" style="127" hidden="1" customWidth="1"/>
    <col min="24" max="24" width="12.140625" style="127" hidden="1" customWidth="1"/>
    <col min="25" max="16384" width="11.42578125" style="127" hidden="1"/>
  </cols>
  <sheetData>
    <row r="1" spans="1:20" ht="8.1" customHeight="1" x14ac:dyDescent="0.25">
      <c r="A1" s="121"/>
      <c r="B1" s="121"/>
      <c r="C1" s="121"/>
      <c r="D1" s="121"/>
      <c r="E1" s="121"/>
      <c r="F1" s="122"/>
      <c r="G1" s="123"/>
      <c r="H1" s="124"/>
      <c r="I1" s="125"/>
      <c r="J1" s="126"/>
      <c r="K1" s="126"/>
      <c r="L1" s="121"/>
      <c r="M1" s="121"/>
      <c r="N1" s="121"/>
    </row>
    <row r="2" spans="1:20" s="211" customFormat="1" ht="31.5" x14ac:dyDescent="0.5">
      <c r="A2" s="128"/>
      <c r="B2" s="128"/>
      <c r="C2" s="129">
        <v>4</v>
      </c>
      <c r="D2" s="130"/>
      <c r="E2" s="131" t="s">
        <v>177</v>
      </c>
      <c r="F2" s="132"/>
      <c r="G2" s="123"/>
      <c r="H2" s="133"/>
      <c r="I2" s="134"/>
      <c r="J2" s="128"/>
      <c r="K2" s="128"/>
      <c r="L2" s="128"/>
      <c r="M2" s="130"/>
      <c r="N2" s="128"/>
      <c r="P2" s="210"/>
      <c r="Q2" s="210"/>
      <c r="R2" s="210"/>
      <c r="S2" s="210"/>
      <c r="T2" s="210"/>
    </row>
    <row r="3" spans="1:20" s="212" customFormat="1" ht="14.25" x14ac:dyDescent="0.25">
      <c r="A3" s="135"/>
      <c r="B3" s="135"/>
      <c r="C3" s="135"/>
      <c r="D3" s="136"/>
      <c r="E3" s="137" t="str">
        <f>" - til statlige barnevernstiltak som barnevernsinstutisjoner, senter for foreldre og barn, beredskapshjem og spesialiserte fosterhjem, og MST / FFT"</f>
        <v xml:space="preserve"> - til statlige barnevernstiltak som barnevernsinstutisjoner, senter for foreldre og barn, beredskapshjem og spesialiserte fosterhjem, og MST / FFT</v>
      </c>
      <c r="F3" s="138"/>
      <c r="G3" s="135"/>
      <c r="H3" s="139"/>
      <c r="I3" s="140"/>
      <c r="J3" s="135"/>
      <c r="K3" s="135"/>
      <c r="L3" s="135"/>
      <c r="M3" s="136"/>
      <c r="N3" s="135"/>
      <c r="P3" s="213"/>
      <c r="Q3" s="213"/>
      <c r="R3" s="213"/>
      <c r="S3" s="213"/>
      <c r="T3" s="213"/>
    </row>
    <row r="4" spans="1:20" ht="8.1" customHeight="1" x14ac:dyDescent="0.25">
      <c r="A4" s="121"/>
      <c r="B4" s="121"/>
      <c r="C4" s="121"/>
      <c r="D4" s="121"/>
      <c r="E4" s="121"/>
      <c r="F4" s="122"/>
      <c r="G4" s="123"/>
      <c r="H4" s="124"/>
      <c r="I4" s="125"/>
      <c r="J4" s="121"/>
      <c r="K4" s="121"/>
      <c r="L4" s="121"/>
      <c r="M4" s="121"/>
      <c r="N4" s="121"/>
    </row>
    <row r="5" spans="1:20" ht="15" customHeight="1" x14ac:dyDescent="0.25">
      <c r="A5" s="121"/>
      <c r="B5" s="141"/>
      <c r="C5" s="141"/>
      <c r="D5" s="141"/>
      <c r="E5" s="141"/>
      <c r="F5" s="141"/>
      <c r="G5" s="141"/>
      <c r="H5" s="141"/>
      <c r="I5" s="141"/>
      <c r="J5" s="141"/>
      <c r="K5" s="141"/>
      <c r="L5" s="141"/>
      <c r="M5" s="141"/>
      <c r="N5" s="121"/>
      <c r="P5" s="214"/>
    </row>
    <row r="6" spans="1:20" s="219" customFormat="1" ht="24" customHeight="1" x14ac:dyDescent="0.25">
      <c r="A6" s="215"/>
      <c r="B6" s="158"/>
      <c r="C6" s="216"/>
      <c r="D6" s="142"/>
      <c r="E6" s="143" t="s">
        <v>69</v>
      </c>
      <c r="F6" s="143"/>
      <c r="G6" s="217"/>
      <c r="H6" s="218"/>
      <c r="I6" s="143" t="s">
        <v>70</v>
      </c>
      <c r="J6" s="145"/>
      <c r="K6" s="145"/>
      <c r="L6" s="146"/>
      <c r="M6" s="158"/>
      <c r="N6" s="215"/>
      <c r="P6" s="220" t="s">
        <v>146</v>
      </c>
      <c r="Q6" s="221" t="s">
        <v>147</v>
      </c>
      <c r="R6" s="222"/>
      <c r="S6" s="222"/>
      <c r="T6" s="223"/>
    </row>
    <row r="7" spans="1:20" s="219" customFormat="1" ht="26.45" customHeight="1" x14ac:dyDescent="0.25">
      <c r="A7" s="121"/>
      <c r="B7" s="158"/>
      <c r="C7" s="224"/>
      <c r="D7" s="757" t="s">
        <v>178</v>
      </c>
      <c r="E7" s="757"/>
      <c r="F7" s="757"/>
      <c r="G7" s="225"/>
      <c r="H7" s="226"/>
      <c r="I7" s="758" t="s">
        <v>179</v>
      </c>
      <c r="J7" s="758"/>
      <c r="K7" s="758"/>
      <c r="L7" s="758"/>
      <c r="M7" s="158"/>
      <c r="N7" s="121"/>
      <c r="P7" s="220" t="s">
        <v>146</v>
      </c>
      <c r="Q7" s="227" t="s">
        <v>180</v>
      </c>
      <c r="R7" s="228"/>
      <c r="S7" s="228"/>
      <c r="T7" s="229"/>
    </row>
    <row r="8" spans="1:20" s="219" customFormat="1" ht="26.45" customHeight="1" x14ac:dyDescent="0.2">
      <c r="A8" s="121"/>
      <c r="B8" s="158"/>
      <c r="C8" s="224"/>
      <c r="D8" s="757"/>
      <c r="E8" s="757"/>
      <c r="F8" s="757"/>
      <c r="G8" s="225"/>
      <c r="H8" s="226"/>
      <c r="I8" s="758"/>
      <c r="J8" s="758"/>
      <c r="K8" s="758"/>
      <c r="L8" s="758"/>
      <c r="M8" s="158"/>
      <c r="N8" s="121"/>
      <c r="P8" s="230" t="s">
        <v>146</v>
      </c>
      <c r="Q8" s="231" t="s">
        <v>73</v>
      </c>
      <c r="R8" s="210"/>
      <c r="S8" s="210"/>
      <c r="T8" s="210"/>
    </row>
    <row r="9" spans="1:20" x14ac:dyDescent="0.25">
      <c r="A9" s="121"/>
      <c r="B9" s="141"/>
      <c r="C9" s="225"/>
      <c r="D9" s="225"/>
      <c r="E9" s="225"/>
      <c r="F9" s="225"/>
      <c r="G9" s="225"/>
      <c r="H9" s="225"/>
      <c r="I9" s="225"/>
      <c r="J9" s="225"/>
      <c r="K9" s="225"/>
      <c r="L9" s="225"/>
      <c r="M9" s="141"/>
      <c r="N9" s="121"/>
      <c r="P9" s="214"/>
    </row>
    <row r="10" spans="1:20" ht="15" customHeight="1" x14ac:dyDescent="0.25">
      <c r="A10" s="121"/>
      <c r="B10" s="141"/>
      <c r="C10" s="141"/>
      <c r="D10" s="141"/>
      <c r="E10" s="141"/>
      <c r="F10" s="141"/>
      <c r="G10" s="141"/>
      <c r="H10" s="141"/>
      <c r="I10" s="141"/>
      <c r="J10" s="141"/>
      <c r="K10" s="141"/>
      <c r="L10" s="141"/>
      <c r="M10" s="141"/>
      <c r="N10" s="121"/>
      <c r="P10" s="232"/>
      <c r="Q10" s="233"/>
    </row>
    <row r="11" spans="1:20" ht="6" customHeight="1" x14ac:dyDescent="0.25">
      <c r="A11" s="121"/>
      <c r="B11" s="124"/>
      <c r="C11" s="124"/>
      <c r="D11" s="124"/>
      <c r="E11" s="124"/>
      <c r="F11" s="124"/>
      <c r="G11" s="124"/>
      <c r="H11" s="124"/>
      <c r="I11" s="124"/>
      <c r="J11" s="124"/>
      <c r="K11" s="124"/>
      <c r="L11" s="124"/>
      <c r="M11" s="121"/>
      <c r="N11" s="121"/>
    </row>
    <row r="12" spans="1:20" ht="15" customHeight="1" x14ac:dyDescent="0.25">
      <c r="A12" s="121"/>
      <c r="B12" s="141"/>
      <c r="C12" s="141"/>
      <c r="D12" s="141"/>
      <c r="E12" s="141"/>
      <c r="F12" s="141"/>
      <c r="G12" s="141"/>
      <c r="H12" s="141"/>
      <c r="I12" s="141"/>
      <c r="J12" s="141"/>
      <c r="K12" s="141"/>
      <c r="L12" s="141"/>
      <c r="M12" s="141"/>
      <c r="N12" s="121"/>
      <c r="P12" s="234" t="s">
        <v>163</v>
      </c>
      <c r="Q12" s="235">
        <v>1</v>
      </c>
    </row>
    <row r="13" spans="1:20" x14ac:dyDescent="0.25">
      <c r="A13" s="121"/>
      <c r="B13" s="141"/>
      <c r="C13" s="310"/>
      <c r="D13" s="311"/>
      <c r="E13" s="312"/>
      <c r="F13" s="312"/>
      <c r="G13" s="312"/>
      <c r="H13" s="312"/>
      <c r="I13" s="313"/>
      <c r="J13" s="313"/>
      <c r="K13" s="313"/>
      <c r="L13" s="314"/>
      <c r="M13" s="141"/>
      <c r="N13" s="121"/>
      <c r="P13" s="234" t="s">
        <v>164</v>
      </c>
      <c r="Q13" s="235" t="str" cm="1">
        <f t="array" ref="Q13">_xlfn.IFS(OR(F19="",F20=""),"",S19=S20,"JA",TRUE,"Nei")</f>
        <v/>
      </c>
    </row>
    <row r="14" spans="1:20" ht="21" x14ac:dyDescent="0.35">
      <c r="A14" s="121"/>
      <c r="B14" s="141"/>
      <c r="C14" s="163"/>
      <c r="D14" s="164"/>
      <c r="E14" s="238" t="s">
        <v>181</v>
      </c>
      <c r="F14" s="208"/>
      <c r="G14" s="208"/>
      <c r="L14" s="166"/>
      <c r="M14" s="141"/>
      <c r="N14" s="121"/>
      <c r="P14" s="239" t="s">
        <v>83</v>
      </c>
      <c r="Q14" s="239" t="s">
        <v>84</v>
      </c>
      <c r="R14" s="239" t="s">
        <v>85</v>
      </c>
      <c r="S14" s="239" t="s">
        <v>166</v>
      </c>
      <c r="T14" s="239" t="s">
        <v>182</v>
      </c>
    </row>
    <row r="15" spans="1:20" ht="8.1" customHeight="1" x14ac:dyDescent="0.35">
      <c r="A15" s="121"/>
      <c r="B15" s="141"/>
      <c r="C15" s="163"/>
      <c r="D15" s="164"/>
      <c r="E15" s="238"/>
      <c r="F15" s="208"/>
      <c r="G15" s="208"/>
      <c r="L15" s="166"/>
      <c r="M15" s="141"/>
      <c r="N15" s="121"/>
      <c r="P15" s="240"/>
      <c r="Q15" s="240"/>
      <c r="R15" s="240"/>
      <c r="S15" s="240"/>
      <c r="T15" s="240"/>
    </row>
    <row r="16" spans="1:20" ht="8.1" customHeight="1" x14ac:dyDescent="0.25">
      <c r="A16" s="121"/>
      <c r="B16" s="141"/>
      <c r="C16" s="163"/>
      <c r="D16" s="241"/>
      <c r="E16" s="242"/>
      <c r="F16" s="243"/>
      <c r="G16" s="243"/>
      <c r="H16" s="244"/>
      <c r="I16" s="245"/>
      <c r="J16" s="237"/>
      <c r="K16" s="237"/>
      <c r="L16" s="166"/>
      <c r="M16" s="141"/>
      <c r="N16" s="121"/>
      <c r="P16" s="246"/>
      <c r="Q16" s="246"/>
      <c r="R16" s="246"/>
      <c r="S16" s="246"/>
      <c r="T16" s="246"/>
    </row>
    <row r="17" spans="1:20" x14ac:dyDescent="0.25">
      <c r="A17" s="121"/>
      <c r="B17" s="141"/>
      <c r="C17" s="163"/>
      <c r="D17" s="247"/>
      <c r="E17" s="767" t="s">
        <v>183</v>
      </c>
      <c r="F17" s="688"/>
      <c r="G17" s="688"/>
      <c r="H17" s="248"/>
      <c r="I17" s="245"/>
      <c r="J17" s="237"/>
      <c r="K17" s="237"/>
      <c r="L17" s="166"/>
      <c r="M17" s="141"/>
      <c r="N17" s="121"/>
      <c r="P17" s="246"/>
      <c r="Q17" s="246"/>
      <c r="R17" s="246"/>
      <c r="S17" s="246"/>
      <c r="T17" s="246"/>
    </row>
    <row r="18" spans="1:20" x14ac:dyDescent="0.25">
      <c r="A18" s="121"/>
      <c r="B18" s="141"/>
      <c r="C18" s="163"/>
      <c r="D18" s="247"/>
      <c r="E18" s="767"/>
      <c r="F18" s="688"/>
      <c r="G18" s="688"/>
      <c r="H18" s="248"/>
      <c r="I18" s="245"/>
      <c r="J18" s="237"/>
      <c r="K18" s="237"/>
      <c r="L18" s="166"/>
      <c r="M18" s="141"/>
      <c r="N18" s="121"/>
      <c r="P18" s="246"/>
      <c r="Q18" s="246"/>
      <c r="R18" s="246"/>
      <c r="S18" s="246"/>
      <c r="T18" s="246"/>
    </row>
    <row r="19" spans="1:20" ht="16.5" thickBot="1" x14ac:dyDescent="0.35">
      <c r="A19" s="121"/>
      <c r="B19" s="141"/>
      <c r="C19" s="163"/>
      <c r="D19" s="247"/>
      <c r="E19" s="249" t="s">
        <v>168</v>
      </c>
      <c r="F19" s="23"/>
      <c r="G19" s="250" t="s">
        <v>90</v>
      </c>
      <c r="H19" s="248"/>
      <c r="I19" s="245" t="str">
        <f>R19</f>
        <v xml:space="preserve">*obligatorisk </v>
      </c>
      <c r="J19" s="237"/>
      <c r="K19" s="237"/>
      <c r="L19" s="166"/>
      <c r="M19" s="141"/>
      <c r="N19" s="121"/>
      <c r="P19" s="251" t="str">
        <f>E19</f>
        <v>fra: (dd.mm.åååå)</v>
      </c>
      <c r="Q19" s="252"/>
      <c r="R19" s="253" t="str" cm="1">
        <f t="array" ref="R19">_xlfn.IFS(F19="",$Q$8,TRUE,"")</f>
        <v xml:space="preserve">*obligatorisk </v>
      </c>
      <c r="S19" s="254">
        <f>IF(F19&gt;=DATE(YEAR(F19),Q12,1),YEAR(F19),YEAR(F19)-1)</f>
        <v>1899</v>
      </c>
      <c r="T19" s="255">
        <f>(DATE(S19+1,Q12,1)-1)-(DATE(S19,Q12,1))+1</f>
        <v>-693597</v>
      </c>
    </row>
    <row r="20" spans="1:20" ht="16.5" thickTop="1" x14ac:dyDescent="0.3">
      <c r="A20" s="121"/>
      <c r="B20" s="141"/>
      <c r="C20" s="163"/>
      <c r="D20" s="247"/>
      <c r="E20" s="249" t="s">
        <v>169</v>
      </c>
      <c r="F20" s="24"/>
      <c r="G20" s="250" t="s">
        <v>90</v>
      </c>
      <c r="H20" s="248"/>
      <c r="I20" s="245" t="str">
        <f>R20</f>
        <v xml:space="preserve">*obligatorisk </v>
      </c>
      <c r="J20" s="237"/>
      <c r="K20" s="237"/>
      <c r="L20" s="166"/>
      <c r="M20" s="141"/>
      <c r="N20" s="121"/>
      <c r="P20" s="251" t="str">
        <f>E20</f>
        <v>til: (dd.mm.åååå)</v>
      </c>
      <c r="Q20" s="252"/>
      <c r="R20" s="253" t="str" cm="1">
        <f t="array" ref="R20">_xlfn.IFS(OR(F20="",ISNUMBER(F20)=FALSE),$Q$8,F19="","",F19&gt;F20,$Q$7,F20&gt;(EDATE(F19,12)-1),$Q$6,TRUE,"")</f>
        <v xml:space="preserve">*obligatorisk </v>
      </c>
      <c r="S20" s="254">
        <f>IF(F20&gt;=DATE(YEAR(F20),Q12,1),YEAR(F20),YEAR(F20)-1)</f>
        <v>1899</v>
      </c>
      <c r="T20" s="255">
        <f>IF(Q13="Ja","",(DATE(S20+1,Q12,1)-1)-(DATE(S20,Q12,1))+1)</f>
        <v>-693597</v>
      </c>
    </row>
    <row r="21" spans="1:20" ht="8.1" customHeight="1" x14ac:dyDescent="0.3">
      <c r="A21" s="121"/>
      <c r="B21" s="141"/>
      <c r="C21" s="163"/>
      <c r="D21" s="256"/>
      <c r="E21" s="257"/>
      <c r="F21" s="258"/>
      <c r="G21" s="259"/>
      <c r="H21" s="260"/>
      <c r="I21" s="245"/>
      <c r="J21" s="237"/>
      <c r="K21" s="237"/>
      <c r="L21" s="166"/>
      <c r="M21" s="141"/>
      <c r="N21" s="121"/>
      <c r="P21" s="261"/>
      <c r="Q21" s="262"/>
      <c r="R21" s="262"/>
      <c r="S21" s="262"/>
      <c r="T21" s="262"/>
    </row>
    <row r="22" spans="1:20" ht="8.1" customHeight="1" x14ac:dyDescent="0.3">
      <c r="A22" s="121"/>
      <c r="B22" s="141"/>
      <c r="C22" s="163"/>
      <c r="D22" s="164"/>
      <c r="E22" s="208"/>
      <c r="G22" s="250"/>
      <c r="H22" s="237"/>
      <c r="I22" s="237"/>
      <c r="J22" s="237"/>
      <c r="K22" s="237"/>
      <c r="L22" s="166"/>
      <c r="M22" s="141"/>
      <c r="N22" s="121"/>
      <c r="P22" s="263"/>
      <c r="Q22" s="263"/>
      <c r="R22" s="263"/>
      <c r="S22" s="263"/>
      <c r="T22" s="263"/>
    </row>
    <row r="23" spans="1:20" x14ac:dyDescent="0.25">
      <c r="A23" s="121"/>
      <c r="B23" s="141"/>
      <c r="C23" s="163"/>
      <c r="D23" s="241"/>
      <c r="E23" s="264"/>
      <c r="F23" s="264"/>
      <c r="G23" s="264"/>
      <c r="H23" s="244"/>
      <c r="I23" s="237"/>
      <c r="J23" s="237"/>
      <c r="K23" s="237"/>
      <c r="L23" s="303"/>
      <c r="M23" s="141"/>
      <c r="N23" s="121"/>
      <c r="P23" s="265" t="s">
        <v>119</v>
      </c>
      <c r="Q23" s="266" t="str">
        <f>IF(R19&amp;R20="","ja","nei")</f>
        <v>nei</v>
      </c>
      <c r="R23" s="246"/>
      <c r="S23" s="246"/>
      <c r="T23" s="246"/>
    </row>
    <row r="24" spans="1:20" ht="15.75" thickBot="1" x14ac:dyDescent="0.3">
      <c r="A24" s="121"/>
      <c r="B24" s="141"/>
      <c r="C24" s="163"/>
      <c r="D24" s="247"/>
      <c r="E24" s="208" t="str">
        <f>P24</f>
        <v>månedlig sats</v>
      </c>
      <c r="F24" s="267" t="str">
        <f>IF(Q23="nei","",Q24)</f>
        <v/>
      </c>
      <c r="H24" s="248"/>
      <c r="I24" s="237"/>
      <c r="J24" s="237"/>
      <c r="K24" s="237"/>
      <c r="L24" s="303"/>
      <c r="M24" s="141"/>
      <c r="N24" s="121"/>
      <c r="P24" s="234" t="str">
        <f>IFERROR(IF(S19&gt;2021,"månedlig sats for "&amp;S19&amp;S24,"månedlig sats"),"månedlig sats")</f>
        <v>månedlig sats</v>
      </c>
      <c r="Q24" s="268" t="str">
        <f>_xlfn.XLOOKUP(S19,Innstillinger!$B$29:$B$35,Institusjon,"-")</f>
        <v>-</v>
      </c>
      <c r="R24" s="253" t="str">
        <f>IF(R19&amp;R20="",_xlfn.XLOOKUP(S19,Innstillinger!$B$29:$B$35,Innstillinger!$I$29:$I$35,""),"")</f>
        <v/>
      </c>
      <c r="S24" s="253" t="str">
        <f>IF(_xlfn.XLOOKUP(S19,Innstillinger!$B$29:$B$35,Innstillinger!$J$29:$J$35,"")="-","*","")</f>
        <v/>
      </c>
      <c r="T24" s="269"/>
    </row>
    <row r="25" spans="1:20" ht="16.5" customHeight="1" thickTop="1" thickBot="1" x14ac:dyDescent="0.3">
      <c r="A25" s="121"/>
      <c r="B25" s="141"/>
      <c r="C25" s="163"/>
      <c r="D25" s="247"/>
      <c r="E25" s="208" t="str">
        <f t="shared" ref="E25:E26" si="0">P25</f>
        <v>døgnsats</v>
      </c>
      <c r="F25" s="270" t="str">
        <f>IF(Q23="nei","",Q25)</f>
        <v/>
      </c>
      <c r="H25" s="271"/>
      <c r="I25" s="237"/>
      <c r="J25" s="237"/>
      <c r="K25" s="237"/>
      <c r="L25" s="303"/>
      <c r="M25" s="141"/>
      <c r="N25" s="121"/>
      <c r="P25" s="234" t="str">
        <f>IFERROR(IF(S19&gt;2021,"døgnsats for "&amp;S19,"døgnsats"),"døgnsats")</f>
        <v>døgnsats</v>
      </c>
      <c r="Q25" s="268" t="e">
        <f>Q24*12/T19</f>
        <v>#VALUE!</v>
      </c>
      <c r="R25" s="253"/>
      <c r="S25" s="253"/>
      <c r="T25" s="253"/>
    </row>
    <row r="26" spans="1:20" ht="16.5" customHeight="1" thickTop="1" x14ac:dyDescent="0.25">
      <c r="A26" s="121"/>
      <c r="B26" s="141"/>
      <c r="C26" s="163"/>
      <c r="D26" s="247"/>
      <c r="E26" s="208" t="str">
        <f t="shared" si="0"/>
        <v>antall dager</v>
      </c>
      <c r="F26" s="272" t="str">
        <f>IF(Q23="nei","",Q26)</f>
        <v/>
      </c>
      <c r="H26" s="248"/>
      <c r="I26" s="237"/>
      <c r="J26" s="237"/>
      <c r="K26" s="237"/>
      <c r="L26" s="303"/>
      <c r="M26" s="141"/>
      <c r="N26" s="121"/>
      <c r="P26" s="234" t="str">
        <f>IFERROR(IF(S19&gt;2021,"antall dager for "&amp;S19,"antall dager"),"antall dager")</f>
        <v>antall dager</v>
      </c>
      <c r="Q26" s="273" t="str" cm="1">
        <f t="array" ref="Q26">_xlfn.IFS(F20="","",F19="","",Q13="JA",F20-F19,1=1,(DATE(S19+1,Q12,1)-1)-F19+1)</f>
        <v/>
      </c>
      <c r="R26" s="253"/>
      <c r="S26" s="253"/>
      <c r="T26" s="253"/>
    </row>
    <row r="27" spans="1:20" x14ac:dyDescent="0.25">
      <c r="A27" s="121"/>
      <c r="B27" s="141"/>
      <c r="C27" s="163"/>
      <c r="D27" s="247"/>
      <c r="E27" s="274" t="str">
        <f>R24</f>
        <v/>
      </c>
      <c r="H27" s="248"/>
      <c r="I27" s="237"/>
      <c r="J27" s="237"/>
      <c r="K27" s="237"/>
      <c r="L27" s="303"/>
      <c r="M27" s="141"/>
      <c r="N27" s="121"/>
      <c r="P27" s="275" t="s">
        <v>184</v>
      </c>
      <c r="Q27" s="276" t="str">
        <f>IF(Q23="nei","nei",IF(Q13="ja","nei","ja"))</f>
        <v>nei</v>
      </c>
      <c r="R27" s="262"/>
      <c r="S27" s="262"/>
      <c r="T27" s="262"/>
    </row>
    <row r="28" spans="1:20" ht="8.1" customHeight="1" x14ac:dyDescent="0.25">
      <c r="A28" s="121"/>
      <c r="B28" s="141"/>
      <c r="C28" s="163"/>
      <c r="D28" s="247"/>
      <c r="H28" s="248"/>
      <c r="I28" s="237"/>
      <c r="J28" s="237"/>
      <c r="K28" s="237"/>
      <c r="L28" s="303"/>
      <c r="M28" s="141"/>
      <c r="N28" s="121"/>
      <c r="P28" s="246"/>
      <c r="Q28" s="246"/>
      <c r="R28" s="246"/>
      <c r="S28" s="246"/>
      <c r="T28" s="246"/>
    </row>
    <row r="29" spans="1:20" ht="16.5" customHeight="1" thickBot="1" x14ac:dyDescent="0.3">
      <c r="A29" s="121"/>
      <c r="B29" s="141"/>
      <c r="C29" s="163"/>
      <c r="D29" s="247"/>
      <c r="E29" s="208" t="str" cm="1">
        <f t="array" ref="E29">IF(Q27="ja",P29:Q31,"")</f>
        <v/>
      </c>
      <c r="F29" s="267"/>
      <c r="G29" s="277"/>
      <c r="H29" s="248"/>
      <c r="I29" s="237"/>
      <c r="J29" s="237"/>
      <c r="K29" s="237"/>
      <c r="L29" s="303"/>
      <c r="M29" s="141"/>
      <c r="N29" s="121"/>
      <c r="P29" s="234" t="str">
        <f>"månedlig sats for "&amp;S20&amp;S29</f>
        <v>månedlig sats for 1899</v>
      </c>
      <c r="Q29" s="268" t="str">
        <f>_xlfn.XLOOKUP(S20,Innstillinger!$B$29:$B$35,Institusjon,"-")</f>
        <v>-</v>
      </c>
      <c r="R29" s="253" t="str">
        <f>IF(Q27="nei","",IF(Q23="ja",_xlfn.XLOOKUP(S20,Innstillinger!$B$29:$B$35,Innstillinger!$I$29:$I$35,""),""))</f>
        <v/>
      </c>
      <c r="S29" s="253" t="str">
        <f>IF(_xlfn.XLOOKUP(S20,Innstillinger!$B$29:$B$35,Innstillinger!$J$29:$J$35,"")="-","*","")</f>
        <v/>
      </c>
      <c r="T29" s="253"/>
    </row>
    <row r="30" spans="1:20" ht="16.5" customHeight="1" thickTop="1" thickBot="1" x14ac:dyDescent="0.3">
      <c r="A30" s="121"/>
      <c r="B30" s="141"/>
      <c r="C30" s="163"/>
      <c r="D30" s="247"/>
      <c r="E30" s="208"/>
      <c r="F30" s="270"/>
      <c r="G30" s="278"/>
      <c r="H30" s="248"/>
      <c r="I30" s="237"/>
      <c r="J30" s="237"/>
      <c r="K30" s="237"/>
      <c r="L30" s="303"/>
      <c r="M30" s="141"/>
      <c r="N30" s="121"/>
      <c r="P30" s="234" t="str">
        <f>"døgnsats for "&amp;S20</f>
        <v>døgnsats for 1899</v>
      </c>
      <c r="Q30" s="268" t="e">
        <f>Q29*12/T20</f>
        <v>#VALUE!</v>
      </c>
      <c r="R30" s="253"/>
      <c r="S30" s="253"/>
      <c r="T30" s="253"/>
    </row>
    <row r="31" spans="1:20" ht="16.5" customHeight="1" thickTop="1" x14ac:dyDescent="0.25">
      <c r="A31" s="121"/>
      <c r="B31" s="141"/>
      <c r="C31" s="163"/>
      <c r="D31" s="247"/>
      <c r="E31" s="208"/>
      <c r="F31" s="272"/>
      <c r="G31" s="278"/>
      <c r="H31" s="248"/>
      <c r="I31" s="237"/>
      <c r="J31" s="237"/>
      <c r="K31" s="237"/>
      <c r="L31" s="303"/>
      <c r="M31" s="141"/>
      <c r="N31" s="121"/>
      <c r="P31" s="234" t="str">
        <f>"antall dager for "&amp;S20</f>
        <v>antall dager for 1899</v>
      </c>
      <c r="Q31" s="279">
        <f>IF(Q13="Ja","",F20-(DATE(S20,Q12,1)))</f>
        <v>-693598</v>
      </c>
      <c r="R31" s="253"/>
      <c r="S31" s="253"/>
      <c r="T31" s="253"/>
    </row>
    <row r="32" spans="1:20" x14ac:dyDescent="0.25">
      <c r="A32" s="121"/>
      <c r="B32" s="141"/>
      <c r="C32" s="163"/>
      <c r="D32" s="247"/>
      <c r="E32" s="274" t="str">
        <f>R29</f>
        <v/>
      </c>
      <c r="H32" s="248"/>
      <c r="I32" s="237"/>
      <c r="J32" s="237"/>
      <c r="K32" s="237"/>
      <c r="L32" s="303"/>
      <c r="M32" s="141"/>
      <c r="N32" s="121"/>
      <c r="P32" s="262"/>
      <c r="Q32" s="280"/>
      <c r="R32" s="262"/>
      <c r="S32" s="262"/>
      <c r="T32" s="262"/>
    </row>
    <row r="33" spans="1:20" ht="5.25" customHeight="1" x14ac:dyDescent="0.25">
      <c r="A33" s="121"/>
      <c r="B33" s="141"/>
      <c r="C33" s="163"/>
      <c r="D33" s="247"/>
      <c r="E33" s="208"/>
      <c r="F33" s="281"/>
      <c r="G33" s="281"/>
      <c r="H33" s="248"/>
      <c r="I33" s="237"/>
      <c r="J33" s="237"/>
      <c r="K33" s="237"/>
      <c r="L33" s="303"/>
      <c r="M33" s="141"/>
      <c r="N33" s="121"/>
      <c r="P33" s="246"/>
      <c r="Q33" s="282"/>
      <c r="R33" s="246"/>
      <c r="S33" s="246"/>
      <c r="T33" s="246"/>
    </row>
    <row r="34" spans="1:20" ht="18.75" x14ac:dyDescent="0.25">
      <c r="A34" s="121"/>
      <c r="B34" s="141"/>
      <c r="C34" s="163"/>
      <c r="D34" s="283"/>
      <c r="E34" s="284" t="s">
        <v>125</v>
      </c>
      <c r="F34" s="285" t="str">
        <f>Q34</f>
        <v/>
      </c>
      <c r="G34" s="286"/>
      <c r="H34" s="287"/>
      <c r="I34" s="237"/>
      <c r="J34" s="237"/>
      <c r="K34" s="237"/>
      <c r="L34" s="303"/>
      <c r="M34" s="141"/>
      <c r="N34" s="121"/>
      <c r="P34" s="234" t="str">
        <f t="shared" ref="P34" si="1">E34</f>
        <v>Totalkostnad</v>
      </c>
      <c r="Q34" s="268" t="str">
        <f>IF(Q23="NEI","",Q25*Q26+IF(Q13="Nei",Q30*Q31,0))</f>
        <v/>
      </c>
      <c r="R34" s="253"/>
      <c r="S34" s="253"/>
      <c r="T34" s="253"/>
    </row>
    <row r="35" spans="1:20" x14ac:dyDescent="0.25">
      <c r="A35" s="121"/>
      <c r="B35" s="141"/>
      <c r="C35" s="163"/>
      <c r="D35" s="256"/>
      <c r="E35" s="288"/>
      <c r="F35" s="288"/>
      <c r="G35" s="288"/>
      <c r="H35" s="289"/>
      <c r="I35" s="237"/>
      <c r="J35" s="237"/>
      <c r="K35" s="237"/>
      <c r="L35" s="303"/>
      <c r="M35" s="141"/>
      <c r="N35" s="121"/>
    </row>
    <row r="36" spans="1:20" ht="8.1" customHeight="1" x14ac:dyDescent="0.25">
      <c r="A36" s="121"/>
      <c r="B36" s="141"/>
      <c r="C36" s="163"/>
      <c r="D36" s="164"/>
      <c r="E36" s="236"/>
      <c r="F36" s="236"/>
      <c r="G36" s="236"/>
      <c r="H36" s="236"/>
      <c r="I36" s="237"/>
      <c r="J36" s="237"/>
      <c r="K36" s="237"/>
      <c r="L36" s="303"/>
      <c r="M36" s="141"/>
      <c r="N36" s="121"/>
    </row>
    <row r="37" spans="1:20" x14ac:dyDescent="0.25">
      <c r="A37" s="121"/>
      <c r="B37" s="141"/>
      <c r="C37" s="163"/>
      <c r="D37" s="241"/>
      <c r="E37" s="770" t="str">
        <f>IF(E38="","Skriv kommentar:","")</f>
        <v>Skriv kommentar:</v>
      </c>
      <c r="F37" s="770"/>
      <c r="G37" s="770"/>
      <c r="H37" s="290"/>
      <c r="I37" s="237"/>
      <c r="J37" s="237"/>
      <c r="K37" s="237"/>
      <c r="L37" s="303"/>
      <c r="M37" s="141"/>
      <c r="N37" s="121"/>
    </row>
    <row r="38" spans="1:20" x14ac:dyDescent="0.25">
      <c r="A38" s="121"/>
      <c r="B38" s="141"/>
      <c r="C38" s="163"/>
      <c r="D38" s="247"/>
      <c r="E38" s="768"/>
      <c r="F38" s="768"/>
      <c r="G38" s="768"/>
      <c r="H38" s="271"/>
      <c r="I38" s="237"/>
      <c r="J38" s="237"/>
      <c r="K38" s="237"/>
      <c r="L38" s="303"/>
      <c r="M38" s="141"/>
      <c r="N38" s="121"/>
    </row>
    <row r="39" spans="1:20" x14ac:dyDescent="0.25">
      <c r="A39" s="121"/>
      <c r="B39" s="141"/>
      <c r="C39" s="163"/>
      <c r="D39" s="247"/>
      <c r="E39" s="768"/>
      <c r="F39" s="768"/>
      <c r="G39" s="768"/>
      <c r="H39" s="271"/>
      <c r="I39" s="237"/>
      <c r="J39" s="237"/>
      <c r="K39" s="237"/>
      <c r="L39" s="303"/>
      <c r="M39" s="141"/>
      <c r="N39" s="121"/>
    </row>
    <row r="40" spans="1:20" x14ac:dyDescent="0.25">
      <c r="A40" s="121"/>
      <c r="B40" s="141"/>
      <c r="C40" s="163"/>
      <c r="D40" s="247"/>
      <c r="E40" s="768"/>
      <c r="F40" s="768"/>
      <c r="G40" s="768"/>
      <c r="H40" s="271"/>
      <c r="I40" s="237"/>
      <c r="J40" s="237"/>
      <c r="K40" s="237"/>
      <c r="L40" s="303"/>
      <c r="M40" s="141"/>
      <c r="N40" s="121"/>
    </row>
    <row r="41" spans="1:20" x14ac:dyDescent="0.25">
      <c r="A41" s="121"/>
      <c r="B41" s="141"/>
      <c r="C41" s="163"/>
      <c r="D41" s="247"/>
      <c r="E41" s="768"/>
      <c r="F41" s="768"/>
      <c r="G41" s="768"/>
      <c r="H41" s="271"/>
      <c r="I41" s="237"/>
      <c r="J41" s="237"/>
      <c r="K41" s="237"/>
      <c r="L41" s="303"/>
      <c r="M41" s="141"/>
      <c r="N41" s="121"/>
    </row>
    <row r="42" spans="1:20" x14ac:dyDescent="0.25">
      <c r="A42" s="121"/>
      <c r="B42" s="141"/>
      <c r="C42" s="163"/>
      <c r="D42" s="256"/>
      <c r="E42" s="769"/>
      <c r="F42" s="769"/>
      <c r="G42" s="769"/>
      <c r="H42" s="289"/>
      <c r="I42" s="237"/>
      <c r="J42" s="237"/>
      <c r="K42" s="237"/>
      <c r="L42" s="303"/>
      <c r="M42" s="141"/>
      <c r="N42" s="121"/>
    </row>
    <row r="43" spans="1:20" x14ac:dyDescent="0.25">
      <c r="A43" s="121"/>
      <c r="B43" s="141"/>
      <c r="C43" s="304"/>
      <c r="D43" s="305"/>
      <c r="E43" s="306"/>
      <c r="F43" s="306"/>
      <c r="G43" s="306"/>
      <c r="H43" s="306"/>
      <c r="I43" s="307"/>
      <c r="J43" s="307"/>
      <c r="K43" s="307"/>
      <c r="L43" s="308"/>
      <c r="M43" s="141"/>
      <c r="N43" s="121"/>
    </row>
    <row r="44" spans="1:20" ht="15" customHeight="1" x14ac:dyDescent="0.25">
      <c r="A44" s="121"/>
      <c r="B44" s="141"/>
      <c r="C44" s="141"/>
      <c r="D44" s="141"/>
      <c r="E44" s="141"/>
      <c r="F44" s="141"/>
      <c r="G44" s="141"/>
      <c r="H44" s="141"/>
      <c r="I44" s="141"/>
      <c r="J44" s="141"/>
      <c r="K44" s="141"/>
      <c r="L44" s="141"/>
      <c r="M44" s="141"/>
      <c r="N44" s="121"/>
      <c r="P44" s="214"/>
      <c r="Q44" s="291"/>
      <c r="R44" s="291"/>
      <c r="S44" s="291"/>
    </row>
    <row r="45" spans="1:20" ht="6" customHeight="1" x14ac:dyDescent="0.25">
      <c r="A45" s="121"/>
      <c r="B45" s="124"/>
      <c r="C45" s="124"/>
      <c r="D45" s="124"/>
      <c r="E45" s="124"/>
      <c r="F45" s="124"/>
      <c r="G45" s="124"/>
      <c r="H45" s="124"/>
      <c r="I45" s="124"/>
      <c r="J45" s="124"/>
      <c r="K45" s="124"/>
      <c r="L45" s="124"/>
      <c r="M45" s="121"/>
      <c r="N45" s="121"/>
    </row>
    <row r="46" spans="1:20" ht="15" customHeight="1" x14ac:dyDescent="0.25">
      <c r="A46" s="121"/>
      <c r="B46" s="141"/>
      <c r="C46" s="141"/>
      <c r="D46" s="141"/>
      <c r="E46" s="141"/>
      <c r="F46" s="141"/>
      <c r="G46" s="141"/>
      <c r="H46" s="141"/>
      <c r="I46" s="141"/>
      <c r="J46" s="141"/>
      <c r="K46" s="141"/>
      <c r="L46" s="141"/>
      <c r="M46" s="141"/>
      <c r="N46" s="121"/>
      <c r="P46" s="234" t="s">
        <v>163</v>
      </c>
      <c r="Q46" s="235">
        <v>1</v>
      </c>
    </row>
    <row r="47" spans="1:20" x14ac:dyDescent="0.25">
      <c r="A47" s="121"/>
      <c r="B47" s="141"/>
      <c r="C47" s="292"/>
      <c r="D47" s="293"/>
      <c r="E47" s="293"/>
      <c r="F47" s="294"/>
      <c r="G47" s="294"/>
      <c r="H47" s="295"/>
      <c r="I47" s="295"/>
      <c r="J47" s="293"/>
      <c r="K47" s="293"/>
      <c r="L47" s="162"/>
      <c r="M47" s="141"/>
      <c r="N47" s="121"/>
      <c r="P47" s="234" t="s">
        <v>164</v>
      </c>
      <c r="Q47" s="235" t="str" cm="1">
        <f t="array" ref="Q47">_xlfn.IFS(OR(F55="",F56=""),"",S55=S56,"JA",TRUE,"Nei")</f>
        <v/>
      </c>
    </row>
    <row r="48" spans="1:20" ht="21" x14ac:dyDescent="0.35">
      <c r="A48" s="121"/>
      <c r="B48" s="141"/>
      <c r="C48" s="163"/>
      <c r="D48" s="164"/>
      <c r="E48" s="238" t="s">
        <v>185</v>
      </c>
      <c r="F48" s="208"/>
      <c r="G48" s="208"/>
      <c r="J48" s="237"/>
      <c r="K48" s="237"/>
      <c r="L48" s="166"/>
      <c r="M48" s="141"/>
      <c r="N48" s="121"/>
      <c r="P48" s="239" t="s">
        <v>83</v>
      </c>
      <c r="Q48" s="239" t="s">
        <v>84</v>
      </c>
      <c r="R48" s="239" t="s">
        <v>85</v>
      </c>
      <c r="S48" s="239" t="s">
        <v>166</v>
      </c>
      <c r="T48" s="239" t="s">
        <v>182</v>
      </c>
    </row>
    <row r="49" spans="1:20" ht="8.1" customHeight="1" x14ac:dyDescent="0.35">
      <c r="A49" s="121"/>
      <c r="B49" s="141"/>
      <c r="C49" s="163"/>
      <c r="D49" s="164"/>
      <c r="E49" s="238"/>
      <c r="F49" s="208"/>
      <c r="G49" s="208"/>
      <c r="J49" s="237"/>
      <c r="K49" s="237"/>
      <c r="L49" s="166"/>
      <c r="M49" s="141"/>
      <c r="N49" s="121"/>
      <c r="P49" s="240"/>
      <c r="Q49" s="240"/>
      <c r="R49" s="240"/>
      <c r="S49" s="240"/>
      <c r="T49" s="240"/>
    </row>
    <row r="50" spans="1:20" ht="8.1" customHeight="1" x14ac:dyDescent="0.25">
      <c r="A50" s="121"/>
      <c r="B50" s="141"/>
      <c r="C50" s="163"/>
      <c r="D50" s="241"/>
      <c r="E50" s="242"/>
      <c r="F50" s="243"/>
      <c r="G50" s="243"/>
      <c r="H50" s="244"/>
      <c r="I50" s="245"/>
      <c r="L50" s="166"/>
      <c r="M50" s="141"/>
      <c r="N50" s="121"/>
      <c r="P50" s="246"/>
      <c r="Q50" s="246"/>
      <c r="R50" s="246"/>
      <c r="S50" s="246"/>
      <c r="T50" s="246"/>
    </row>
    <row r="51" spans="1:20" ht="15.75" x14ac:dyDescent="0.3">
      <c r="A51" s="121"/>
      <c r="B51" s="141"/>
      <c r="C51" s="163"/>
      <c r="D51" s="247"/>
      <c r="E51" s="208" t="s">
        <v>186</v>
      </c>
      <c r="F51" s="112" t="s">
        <v>187</v>
      </c>
      <c r="G51" s="250" t="s">
        <v>90</v>
      </c>
      <c r="H51" s="248"/>
      <c r="I51" s="245" t="str">
        <f>R51</f>
        <v/>
      </c>
      <c r="J51" s="237"/>
      <c r="K51" s="237"/>
      <c r="L51" s="166"/>
      <c r="M51" s="141"/>
      <c r="N51" s="121"/>
      <c r="P51" s="253" t="str">
        <f>E51</f>
        <v>Sted utredningen foregår</v>
      </c>
      <c r="Q51" s="296" t="str">
        <f>F51</f>
        <v>Døgnopphold på senteret</v>
      </c>
      <c r="R51" s="253" t="str" cm="1">
        <f t="array" ref="R51">_xlfn.IFS(F51="",$Q$8,F51=Innstillinger!$E$14,$Q$8,TRUE,"")</f>
        <v/>
      </c>
      <c r="S51" s="253"/>
      <c r="T51" s="269"/>
    </row>
    <row r="52" spans="1:20" ht="8.1" customHeight="1" x14ac:dyDescent="0.3">
      <c r="A52" s="121"/>
      <c r="B52" s="141"/>
      <c r="C52" s="163"/>
      <c r="D52" s="247"/>
      <c r="E52" s="208"/>
      <c r="F52" s="237"/>
      <c r="G52" s="250"/>
      <c r="H52" s="248"/>
      <c r="I52" s="245"/>
      <c r="J52" s="237"/>
      <c r="K52" s="237"/>
      <c r="L52" s="166"/>
      <c r="M52" s="141"/>
      <c r="N52" s="121"/>
      <c r="P52" s="297"/>
      <c r="Q52" s="298"/>
      <c r="R52" s="297"/>
      <c r="S52" s="297"/>
      <c r="T52" s="299"/>
    </row>
    <row r="53" spans="1:20" ht="15.75" customHeight="1" x14ac:dyDescent="0.3">
      <c r="A53" s="121"/>
      <c r="B53" s="141"/>
      <c r="C53" s="163"/>
      <c r="D53" s="247"/>
      <c r="E53" s="767" t="s">
        <v>188</v>
      </c>
      <c r="F53" s="237"/>
      <c r="G53" s="250"/>
      <c r="H53" s="248"/>
      <c r="I53" s="245"/>
      <c r="J53" s="237"/>
      <c r="K53" s="237"/>
      <c r="L53" s="166"/>
      <c r="M53" s="141"/>
      <c r="N53" s="121"/>
      <c r="P53" s="297"/>
      <c r="Q53" s="300"/>
      <c r="R53" s="297"/>
      <c r="S53" s="297"/>
      <c r="T53" s="299"/>
    </row>
    <row r="54" spans="1:20" ht="15.75" x14ac:dyDescent="0.3">
      <c r="A54" s="121"/>
      <c r="B54" s="141"/>
      <c r="C54" s="163"/>
      <c r="D54" s="247"/>
      <c r="E54" s="767"/>
      <c r="F54" s="237"/>
      <c r="G54" s="250"/>
      <c r="H54" s="248"/>
      <c r="I54" s="245"/>
      <c r="J54" s="237"/>
      <c r="K54" s="237"/>
      <c r="L54" s="166"/>
      <c r="M54" s="141"/>
      <c r="N54" s="121"/>
      <c r="P54" s="297"/>
      <c r="Q54" s="300"/>
      <c r="R54" s="297"/>
      <c r="S54" s="297"/>
      <c r="T54" s="299"/>
    </row>
    <row r="55" spans="1:20" ht="16.5" thickBot="1" x14ac:dyDescent="0.35">
      <c r="A55" s="121"/>
      <c r="B55" s="141"/>
      <c r="C55" s="163"/>
      <c r="D55" s="247"/>
      <c r="E55" s="249" t="s">
        <v>168</v>
      </c>
      <c r="F55" s="23"/>
      <c r="G55" s="250" t="s">
        <v>90</v>
      </c>
      <c r="H55" s="248"/>
      <c r="I55" s="245" t="str">
        <f>R55</f>
        <v xml:space="preserve">*obligatorisk </v>
      </c>
      <c r="J55" s="237"/>
      <c r="K55" s="237"/>
      <c r="L55" s="166"/>
      <c r="M55" s="141"/>
      <c r="N55" s="121"/>
      <c r="P55" s="253" t="str">
        <f>E55</f>
        <v>fra: (dd.mm.åååå)</v>
      </c>
      <c r="Q55" s="252"/>
      <c r="R55" s="253" t="str" cm="1">
        <f t="array" ref="R55">_xlfn.IFS(F55="",$Q$8,TRUE,"")</f>
        <v xml:space="preserve">*obligatorisk </v>
      </c>
      <c r="S55" s="254">
        <f>IF(F55&gt;=DATE(YEAR(F55),Q46,1),YEAR(F55),YEAR(F55)-1)</f>
        <v>1899</v>
      </c>
      <c r="T55" s="255">
        <f>(DATE(S55+1,Q46,1)-1)-(DATE(S55,Q46,1))+1</f>
        <v>-693597</v>
      </c>
    </row>
    <row r="56" spans="1:20" ht="16.5" thickTop="1" x14ac:dyDescent="0.3">
      <c r="A56" s="121"/>
      <c r="B56" s="141"/>
      <c r="C56" s="163"/>
      <c r="D56" s="247"/>
      <c r="E56" s="249" t="s">
        <v>169</v>
      </c>
      <c r="F56" s="24"/>
      <c r="G56" s="250" t="s">
        <v>90</v>
      </c>
      <c r="H56" s="248"/>
      <c r="I56" s="245" t="str">
        <f>R56</f>
        <v xml:space="preserve">*obligatorisk </v>
      </c>
      <c r="J56" s="237"/>
      <c r="K56" s="237"/>
      <c r="L56" s="166"/>
      <c r="M56" s="141"/>
      <c r="N56" s="121"/>
      <c r="P56" s="253" t="str">
        <f>E56</f>
        <v>til: (dd.mm.åååå)</v>
      </c>
      <c r="Q56" s="252"/>
      <c r="R56" s="253" t="str" cm="1">
        <f t="array" ref="R56">_xlfn.IFS(F56="",$Q$8,F55="","",F55&gt;F56,$Q$7,F56&gt;(EDATE(F55,12)-1),$Q$6,TRUE,"")</f>
        <v xml:space="preserve">*obligatorisk </v>
      </c>
      <c r="S56" s="254">
        <f>IF(F56&gt;=DATE(YEAR(F56),Q46,1),YEAR(F56),YEAR(F56)-1)</f>
        <v>1899</v>
      </c>
      <c r="T56" s="255">
        <f>IF(Q47="Ja","",(DATE(S56+1,Q46,1)-1)-(DATE(S56,Q46,1))+1)</f>
        <v>-693597</v>
      </c>
    </row>
    <row r="57" spans="1:20" ht="8.1" customHeight="1" x14ac:dyDescent="0.3">
      <c r="A57" s="121"/>
      <c r="B57" s="141"/>
      <c r="C57" s="163"/>
      <c r="D57" s="256"/>
      <c r="E57" s="257"/>
      <c r="F57" s="258"/>
      <c r="G57" s="259"/>
      <c r="H57" s="260"/>
      <c r="I57" s="245"/>
      <c r="J57" s="237"/>
      <c r="K57" s="237"/>
      <c r="L57" s="166"/>
      <c r="M57" s="141"/>
      <c r="N57" s="121"/>
      <c r="P57" s="261"/>
      <c r="Q57" s="262"/>
      <c r="R57" s="262"/>
      <c r="S57" s="262"/>
      <c r="T57" s="262"/>
    </row>
    <row r="58" spans="1:20" ht="8.1" customHeight="1" x14ac:dyDescent="0.3">
      <c r="A58" s="121"/>
      <c r="B58" s="141"/>
      <c r="C58" s="163"/>
      <c r="D58" s="164"/>
      <c r="E58" s="208"/>
      <c r="G58" s="250"/>
      <c r="H58" s="237"/>
      <c r="I58" s="237"/>
      <c r="J58" s="237"/>
      <c r="K58" s="237"/>
      <c r="L58" s="166"/>
      <c r="M58" s="141"/>
      <c r="N58" s="121"/>
      <c r="P58" s="263"/>
      <c r="Q58" s="263"/>
      <c r="R58" s="263"/>
      <c r="S58" s="263"/>
      <c r="T58" s="263"/>
    </row>
    <row r="59" spans="1:20" x14ac:dyDescent="0.25">
      <c r="A59" s="121"/>
      <c r="B59" s="141"/>
      <c r="C59" s="163"/>
      <c r="D59" s="241"/>
      <c r="E59" s="264"/>
      <c r="F59" s="264"/>
      <c r="G59" s="264"/>
      <c r="H59" s="244"/>
      <c r="J59" s="237"/>
      <c r="K59" s="237"/>
      <c r="L59" s="166"/>
      <c r="M59" s="141"/>
      <c r="N59" s="121"/>
      <c r="P59" s="265" t="s">
        <v>119</v>
      </c>
      <c r="Q59" s="266" t="str">
        <f>IF(R51&amp;R55&amp;R56="","ja","nei")</f>
        <v>nei</v>
      </c>
      <c r="R59" s="246"/>
      <c r="S59" s="246"/>
      <c r="T59" s="246"/>
    </row>
    <row r="60" spans="1:20" ht="16.5" thickBot="1" x14ac:dyDescent="0.35">
      <c r="A60" s="121"/>
      <c r="B60" s="141"/>
      <c r="C60" s="163"/>
      <c r="D60" s="247"/>
      <c r="E60" s="208" t="str">
        <f>P60</f>
        <v>månedlig sats</v>
      </c>
      <c r="F60" s="267" t="str">
        <f>IF(Q59="nei","",Q60)</f>
        <v/>
      </c>
      <c r="G60" s="250"/>
      <c r="H60" s="248"/>
      <c r="I60" s="301"/>
      <c r="J60" s="237"/>
      <c r="K60" s="237"/>
      <c r="L60" s="166"/>
      <c r="M60" s="141"/>
      <c r="N60" s="121"/>
      <c r="O60" s="302"/>
      <c r="P60" s="234" t="str">
        <f>IFERROR(IF(S55&gt;2021,"månedlig sats for "&amp;S55&amp;S60,"månedlig sats"),"månedlig sats")</f>
        <v>månedlig sats</v>
      </c>
      <c r="Q60" s="268" t="str" cm="1">
        <f t="array" ref="Q60">_xlfn.XLOOKUP(S55,Innstillinger!$B$29:$B$35,_xlfn.IFS(Q51=Innstillinger!G28,Innstillinger!G29:G35,Q51=Innstillinger!H28,Innstillinger!H29:H35,TRUE,Innstillinger!K29:K35),"-")</f>
        <v>-</v>
      </c>
      <c r="R60" s="253" t="str">
        <f>IF(R55&amp;R56="",_xlfn.XLOOKUP(S55,Innstillinger!$B$29:$B$35,Innstillinger!$I$29:$I$35,""),"")</f>
        <v/>
      </c>
      <c r="S60" s="253" t="str">
        <f>IF(_xlfn.XLOOKUP(S55,Innstillinger!$B$29:$B$35,Innstillinger!$J$29:$J$35,"")="-","*","")</f>
        <v/>
      </c>
      <c r="T60" s="269"/>
    </row>
    <row r="61" spans="1:20" ht="16.5" customHeight="1" thickTop="1" thickBot="1" x14ac:dyDescent="0.35">
      <c r="A61" s="121"/>
      <c r="B61" s="141"/>
      <c r="C61" s="163"/>
      <c r="D61" s="247"/>
      <c r="E61" s="208" t="str">
        <f t="shared" ref="E61:E62" si="2">P61</f>
        <v>døgnsats</v>
      </c>
      <c r="F61" s="270" t="str">
        <f>IF(Q59="nei","",Q61)</f>
        <v/>
      </c>
      <c r="G61" s="250"/>
      <c r="H61" s="271"/>
      <c r="I61" s="236"/>
      <c r="J61" s="237"/>
      <c r="K61" s="237"/>
      <c r="L61" s="166"/>
      <c r="M61" s="141"/>
      <c r="N61" s="121"/>
      <c r="P61" s="234" t="str">
        <f>IFERROR(IF(S55&gt;2021,"døgnsats for "&amp;S55,"døgnsats"),"døgnsats")</f>
        <v>døgnsats</v>
      </c>
      <c r="Q61" s="566" t="e">
        <f>Q60*12/T55</f>
        <v>#VALUE!</v>
      </c>
      <c r="R61" s="253"/>
      <c r="S61" s="253"/>
      <c r="T61" s="253"/>
    </row>
    <row r="62" spans="1:20" ht="16.5" customHeight="1" thickTop="1" x14ac:dyDescent="0.3">
      <c r="A62" s="121"/>
      <c r="B62" s="141"/>
      <c r="C62" s="163"/>
      <c r="D62" s="247"/>
      <c r="E62" s="208" t="str">
        <f t="shared" si="2"/>
        <v>antall dager</v>
      </c>
      <c r="F62" s="272" t="str">
        <f>IF(Q59="nei","",Q62)</f>
        <v/>
      </c>
      <c r="G62" s="250"/>
      <c r="H62" s="248"/>
      <c r="J62" s="237"/>
      <c r="K62" s="237"/>
      <c r="L62" s="166"/>
      <c r="M62" s="141"/>
      <c r="N62" s="121"/>
      <c r="P62" s="234" t="str">
        <f>IFERROR(IF(S55&gt;2021,"antall dager for "&amp;S55,"antall dager"),"antall dager")</f>
        <v>antall dager</v>
      </c>
      <c r="Q62" s="273" t="str" cm="1">
        <f t="array" ref="Q62">_xlfn.IFS(F56="","",F55="","",Q47="JA",F56-F55,1=1,(DATE(S55+1,Q46,1)-1)-F55+1)</f>
        <v/>
      </c>
      <c r="R62" s="253"/>
      <c r="S62" s="253"/>
      <c r="T62" s="253"/>
    </row>
    <row r="63" spans="1:20" x14ac:dyDescent="0.25">
      <c r="A63" s="121"/>
      <c r="B63" s="141"/>
      <c r="C63" s="163"/>
      <c r="D63" s="247"/>
      <c r="E63" s="274" t="str">
        <f>R60</f>
        <v/>
      </c>
      <c r="H63" s="248"/>
      <c r="J63" s="237"/>
      <c r="K63" s="237"/>
      <c r="L63" s="166"/>
      <c r="M63" s="141"/>
      <c r="N63" s="121"/>
      <c r="P63" s="275" t="s">
        <v>184</v>
      </c>
      <c r="Q63" s="276" t="str">
        <f>IF(Q59="nei","nei",IF(Q47="ja","nei","ja"))</f>
        <v>nei</v>
      </c>
      <c r="R63" s="262"/>
      <c r="S63" s="262"/>
      <c r="T63" s="262"/>
    </row>
    <row r="64" spans="1:20" ht="8.1" customHeight="1" x14ac:dyDescent="0.25">
      <c r="A64" s="121"/>
      <c r="B64" s="141"/>
      <c r="C64" s="163"/>
      <c r="D64" s="247"/>
      <c r="H64" s="248"/>
      <c r="J64" s="237"/>
      <c r="K64" s="237"/>
      <c r="L64" s="166"/>
      <c r="M64" s="141"/>
      <c r="N64" s="121"/>
      <c r="P64" s="246"/>
      <c r="Q64" s="246"/>
      <c r="R64" s="246"/>
      <c r="S64" s="246"/>
      <c r="T64" s="246"/>
    </row>
    <row r="65" spans="1:20" ht="16.5" customHeight="1" thickBot="1" x14ac:dyDescent="0.35">
      <c r="A65" s="121"/>
      <c r="B65" s="141"/>
      <c r="C65" s="163"/>
      <c r="D65" s="247"/>
      <c r="E65" s="208" t="str" cm="1">
        <f t="array" ref="E65">IF(Q63="ja",P65:Q67,"")</f>
        <v/>
      </c>
      <c r="F65" s="267"/>
      <c r="G65" s="250"/>
      <c r="H65" s="248"/>
      <c r="I65" s="301"/>
      <c r="J65" s="237"/>
      <c r="K65" s="237"/>
      <c r="L65" s="166"/>
      <c r="M65" s="141"/>
      <c r="N65" s="121"/>
      <c r="P65" s="234" t="str">
        <f>"månedlig sats for "&amp;S56&amp;S65</f>
        <v>månedlig sats for 1899</v>
      </c>
      <c r="Q65" s="268" t="str" cm="1">
        <f t="array" ref="Q65">_xlfn.XLOOKUP(S56,Innstillinger!$B$29:$B$35,_xlfn.IFS(Q51=Innstillinger!G28,Innstillinger!G29:G35,Q51=Innstillinger!H28,Innstillinger!H29:H35,TRUE,Innstillinger!K29:K35),"-")</f>
        <v>-</v>
      </c>
      <c r="R65" s="253" t="str">
        <f>IF(Q63="nei","",IF(Q59="ja",_xlfn.XLOOKUP(S56,Innstillinger!$B$29:$B$35,Innstillinger!$I$29:$I$35,""),""))</f>
        <v/>
      </c>
      <c r="S65" s="253" t="str">
        <f>IF(_xlfn.XLOOKUP(S56,Innstillinger!$B$29:$B$35,Innstillinger!$J$29:$J$35,"")="-","*","")</f>
        <v/>
      </c>
      <c r="T65" s="253"/>
    </row>
    <row r="66" spans="1:20" ht="16.5" customHeight="1" thickTop="1" thickBot="1" x14ac:dyDescent="0.35">
      <c r="A66" s="121"/>
      <c r="B66" s="141"/>
      <c r="C66" s="163"/>
      <c r="D66" s="247"/>
      <c r="E66" s="208"/>
      <c r="F66" s="270"/>
      <c r="G66" s="250"/>
      <c r="H66" s="248"/>
      <c r="J66" s="237"/>
      <c r="K66" s="237"/>
      <c r="L66" s="166"/>
      <c r="M66" s="141"/>
      <c r="N66" s="121"/>
      <c r="P66" s="234" t="str">
        <f>"døgnsats for "&amp;S56</f>
        <v>døgnsats for 1899</v>
      </c>
      <c r="Q66" s="268" t="e">
        <f>Q65*12/T56</f>
        <v>#VALUE!</v>
      </c>
      <c r="R66" s="253"/>
      <c r="S66" s="253"/>
      <c r="T66" s="253"/>
    </row>
    <row r="67" spans="1:20" ht="16.5" customHeight="1" thickTop="1" x14ac:dyDescent="0.3">
      <c r="A67" s="121"/>
      <c r="B67" s="141"/>
      <c r="C67" s="163"/>
      <c r="D67" s="247"/>
      <c r="E67" s="208"/>
      <c r="F67" s="272"/>
      <c r="G67" s="250"/>
      <c r="H67" s="248"/>
      <c r="J67" s="237"/>
      <c r="K67" s="237"/>
      <c r="L67" s="166"/>
      <c r="M67" s="141"/>
      <c r="N67" s="121"/>
      <c r="P67" s="234" t="str">
        <f>"antall dager for "&amp;S56</f>
        <v>antall dager for 1899</v>
      </c>
      <c r="Q67" s="279">
        <f>IF(Q47="Ja","",F56-(DATE(S56,Q46,1)))</f>
        <v>-693598</v>
      </c>
      <c r="R67" s="253"/>
      <c r="S67" s="253"/>
      <c r="T67" s="253"/>
    </row>
    <row r="68" spans="1:20" x14ac:dyDescent="0.25">
      <c r="A68" s="121"/>
      <c r="B68" s="141"/>
      <c r="C68" s="163"/>
      <c r="D68" s="247"/>
      <c r="E68" s="274" t="str">
        <f>R65</f>
        <v/>
      </c>
      <c r="H68" s="248"/>
      <c r="J68" s="237"/>
      <c r="K68" s="237"/>
      <c r="L68" s="166"/>
      <c r="M68" s="141"/>
      <c r="N68" s="121"/>
      <c r="P68" s="262"/>
      <c r="Q68" s="280"/>
      <c r="R68" s="262"/>
      <c r="S68" s="262"/>
      <c r="T68" s="262"/>
    </row>
    <row r="69" spans="1:20" ht="5.25" customHeight="1" x14ac:dyDescent="0.25">
      <c r="A69" s="121"/>
      <c r="B69" s="141"/>
      <c r="C69" s="163"/>
      <c r="D69" s="247"/>
      <c r="E69" s="208"/>
      <c r="F69" s="281"/>
      <c r="G69" s="281"/>
      <c r="H69" s="248"/>
      <c r="J69" s="237"/>
      <c r="K69" s="237"/>
      <c r="L69" s="166"/>
      <c r="M69" s="141"/>
      <c r="N69" s="121"/>
      <c r="P69" s="246"/>
      <c r="Q69" s="282"/>
      <c r="R69" s="246"/>
      <c r="S69" s="246"/>
      <c r="T69" s="246"/>
    </row>
    <row r="70" spans="1:20" ht="18.75" x14ac:dyDescent="0.25">
      <c r="A70" s="121"/>
      <c r="B70" s="141"/>
      <c r="C70" s="163"/>
      <c r="D70" s="283"/>
      <c r="E70" s="284" t="s">
        <v>125</v>
      </c>
      <c r="F70" s="285" t="str">
        <f>Q70</f>
        <v/>
      </c>
      <c r="G70" s="286"/>
      <c r="H70" s="287"/>
      <c r="J70" s="237"/>
      <c r="K70" s="237"/>
      <c r="L70" s="166"/>
      <c r="M70" s="141"/>
      <c r="N70" s="121"/>
      <c r="P70" s="234" t="str">
        <f t="shared" ref="P70" si="3">E70</f>
        <v>Totalkostnad</v>
      </c>
      <c r="Q70" s="268" t="str">
        <f>IF(Q59="NEI","",Q61*Q62+IF(Q47="Nei",Q66*Q67,0))</f>
        <v/>
      </c>
      <c r="R70" s="253"/>
      <c r="S70" s="253"/>
      <c r="T70" s="253"/>
    </row>
    <row r="71" spans="1:20" x14ac:dyDescent="0.25">
      <c r="A71" s="121"/>
      <c r="B71" s="141"/>
      <c r="C71" s="163"/>
      <c r="D71" s="256"/>
      <c r="E71" s="288"/>
      <c r="F71" s="288"/>
      <c r="G71" s="288"/>
      <c r="H71" s="289"/>
      <c r="I71" s="236"/>
      <c r="J71" s="237"/>
      <c r="K71" s="237"/>
      <c r="L71" s="166"/>
      <c r="M71" s="141"/>
      <c r="N71" s="121"/>
    </row>
    <row r="72" spans="1:20" ht="8.1" customHeight="1" x14ac:dyDescent="0.25">
      <c r="A72" s="121"/>
      <c r="B72" s="141"/>
      <c r="C72" s="163"/>
      <c r="D72" s="164"/>
      <c r="E72" s="236"/>
      <c r="F72" s="236"/>
      <c r="G72" s="236"/>
      <c r="H72" s="236"/>
      <c r="I72" s="237"/>
      <c r="J72" s="237"/>
      <c r="K72" s="237"/>
      <c r="L72" s="303"/>
      <c r="M72" s="141"/>
      <c r="N72" s="121"/>
    </row>
    <row r="73" spans="1:20" x14ac:dyDescent="0.25">
      <c r="A73" s="121"/>
      <c r="B73" s="141"/>
      <c r="C73" s="163"/>
      <c r="D73" s="241"/>
      <c r="E73" s="770" t="str">
        <f>IF(E74="","Skriv kommentar:","")</f>
        <v>Skriv kommentar:</v>
      </c>
      <c r="F73" s="770"/>
      <c r="G73" s="770"/>
      <c r="H73" s="290"/>
      <c r="I73" s="237"/>
      <c r="J73" s="237"/>
      <c r="K73" s="237"/>
      <c r="L73" s="303"/>
      <c r="M73" s="141"/>
      <c r="N73" s="121"/>
    </row>
    <row r="74" spans="1:20" x14ac:dyDescent="0.25">
      <c r="A74" s="121"/>
      <c r="B74" s="141"/>
      <c r="C74" s="163"/>
      <c r="D74" s="247"/>
      <c r="E74" s="768"/>
      <c r="F74" s="768"/>
      <c r="G74" s="768"/>
      <c r="H74" s="271"/>
      <c r="I74" s="237"/>
      <c r="J74" s="237"/>
      <c r="K74" s="237"/>
      <c r="L74" s="303"/>
      <c r="M74" s="141"/>
      <c r="N74" s="121"/>
    </row>
    <row r="75" spans="1:20" x14ac:dyDescent="0.25">
      <c r="A75" s="121"/>
      <c r="B75" s="141"/>
      <c r="C75" s="163"/>
      <c r="D75" s="247"/>
      <c r="E75" s="768"/>
      <c r="F75" s="768"/>
      <c r="G75" s="768"/>
      <c r="H75" s="271"/>
      <c r="I75" s="237"/>
      <c r="J75" s="237"/>
      <c r="K75" s="237"/>
      <c r="L75" s="303"/>
      <c r="M75" s="141"/>
      <c r="N75" s="121"/>
    </row>
    <row r="76" spans="1:20" x14ac:dyDescent="0.25">
      <c r="A76" s="121"/>
      <c r="B76" s="141"/>
      <c r="C76" s="163"/>
      <c r="D76" s="247"/>
      <c r="E76" s="768"/>
      <c r="F76" s="768"/>
      <c r="G76" s="768"/>
      <c r="H76" s="271"/>
      <c r="I76" s="237"/>
      <c r="J76" s="237"/>
      <c r="K76" s="237"/>
      <c r="L76" s="303"/>
      <c r="M76" s="141"/>
      <c r="N76" s="121"/>
    </row>
    <row r="77" spans="1:20" x14ac:dyDescent="0.25">
      <c r="A77" s="121"/>
      <c r="B77" s="141"/>
      <c r="C77" s="163"/>
      <c r="D77" s="247"/>
      <c r="E77" s="768"/>
      <c r="F77" s="768"/>
      <c r="G77" s="768"/>
      <c r="H77" s="271"/>
      <c r="I77" s="237"/>
      <c r="J77" s="237"/>
      <c r="K77" s="237"/>
      <c r="L77" s="303"/>
      <c r="M77" s="141"/>
      <c r="N77" s="121"/>
    </row>
    <row r="78" spans="1:20" x14ac:dyDescent="0.25">
      <c r="A78" s="121"/>
      <c r="B78" s="141"/>
      <c r="C78" s="163"/>
      <c r="D78" s="256"/>
      <c r="E78" s="769"/>
      <c r="F78" s="769"/>
      <c r="G78" s="769"/>
      <c r="H78" s="289"/>
      <c r="I78" s="237"/>
      <c r="J78" s="237"/>
      <c r="K78" s="237"/>
      <c r="L78" s="303"/>
      <c r="M78" s="141"/>
      <c r="N78" s="121"/>
    </row>
    <row r="79" spans="1:20" ht="8.1" customHeight="1" x14ac:dyDescent="0.25">
      <c r="A79" s="121"/>
      <c r="B79" s="141"/>
      <c r="C79" s="304"/>
      <c r="D79" s="305"/>
      <c r="E79" s="306"/>
      <c r="F79" s="306"/>
      <c r="G79" s="306"/>
      <c r="H79" s="306"/>
      <c r="I79" s="307"/>
      <c r="J79" s="307"/>
      <c r="K79" s="307"/>
      <c r="L79" s="303"/>
      <c r="M79" s="141"/>
      <c r="N79" s="121"/>
    </row>
    <row r="80" spans="1:20" x14ac:dyDescent="0.25">
      <c r="A80" s="121"/>
      <c r="B80" s="141"/>
      <c r="C80" s="310"/>
      <c r="D80" s="711"/>
      <c r="E80" s="711"/>
      <c r="F80" s="711"/>
      <c r="G80" s="711"/>
      <c r="H80" s="711"/>
      <c r="I80" s="712"/>
      <c r="J80" s="712"/>
      <c r="K80" s="712"/>
      <c r="L80" s="303"/>
      <c r="M80" s="141"/>
      <c r="N80" s="121"/>
    </row>
    <row r="81" spans="1:23" x14ac:dyDescent="0.25">
      <c r="A81" s="121"/>
      <c r="B81" s="141"/>
      <c r="C81" s="163"/>
      <c r="D81" s="740" t="s">
        <v>287</v>
      </c>
      <c r="E81" s="741"/>
      <c r="F81" s="741"/>
      <c r="G81" s="741"/>
      <c r="H81" s="741"/>
      <c r="I81" s="714" t="s">
        <v>288</v>
      </c>
      <c r="J81" s="617" t="s">
        <v>289</v>
      </c>
      <c r="K81" s="618"/>
      <c r="L81" s="303"/>
      <c r="M81" s="141"/>
      <c r="N81" s="121"/>
    </row>
    <row r="82" spans="1:23" ht="38.25" customHeight="1" x14ac:dyDescent="0.25">
      <c r="A82" s="121"/>
      <c r="B82" s="141"/>
      <c r="C82" s="163"/>
      <c r="D82" s="619"/>
      <c r="E82" s="742"/>
      <c r="F82" s="742"/>
      <c r="G82" s="742"/>
      <c r="H82" s="743"/>
      <c r="I82" s="716"/>
      <c r="J82" s="717"/>
      <c r="K82" s="700"/>
      <c r="L82" s="303"/>
      <c r="M82" s="141"/>
      <c r="N82" s="121"/>
    </row>
    <row r="83" spans="1:23" x14ac:dyDescent="0.25">
      <c r="A83" s="121"/>
      <c r="B83" s="141"/>
      <c r="C83" s="304"/>
      <c r="D83" s="703"/>
      <c r="E83" s="704"/>
      <c r="F83" s="704"/>
      <c r="G83" s="704"/>
      <c r="H83" s="703"/>
      <c r="I83" s="705"/>
      <c r="J83" s="705"/>
      <c r="K83" s="705"/>
      <c r="L83" s="308"/>
      <c r="M83" s="141"/>
      <c r="N83" s="121"/>
    </row>
    <row r="84" spans="1:23" ht="15" customHeight="1" x14ac:dyDescent="0.25">
      <c r="A84" s="121"/>
      <c r="B84" s="141"/>
      <c r="C84" s="141"/>
      <c r="D84" s="141"/>
      <c r="E84" s="141"/>
      <c r="F84" s="141"/>
      <c r="G84" s="141"/>
      <c r="H84" s="141"/>
      <c r="I84" s="613"/>
      <c r="J84" s="613"/>
      <c r="K84" s="613"/>
      <c r="L84" s="141"/>
      <c r="M84" s="141"/>
      <c r="N84" s="124"/>
      <c r="O84" s="141"/>
      <c r="P84" s="121"/>
      <c r="Q84" s="127"/>
      <c r="S84" s="556"/>
      <c r="U84" s="210"/>
      <c r="V84" s="210"/>
      <c r="W84" s="210"/>
    </row>
    <row r="85" spans="1:23" ht="6" customHeight="1" x14ac:dyDescent="0.25">
      <c r="A85" s="121"/>
      <c r="B85" s="124"/>
      <c r="C85" s="124"/>
      <c r="D85" s="124"/>
      <c r="E85" s="124"/>
      <c r="F85" s="124"/>
      <c r="G85" s="124"/>
      <c r="H85" s="124"/>
      <c r="I85" s="124"/>
      <c r="J85" s="124"/>
      <c r="K85" s="124"/>
      <c r="L85" s="124"/>
      <c r="M85" s="124"/>
      <c r="N85" s="121"/>
      <c r="O85" s="121"/>
      <c r="P85" s="121"/>
      <c r="Q85" s="127"/>
      <c r="U85" s="210"/>
      <c r="V85" s="210"/>
      <c r="W85" s="210"/>
    </row>
    <row r="86" spans="1:23" ht="6" customHeight="1" x14ac:dyDescent="0.25">
      <c r="A86" s="121"/>
      <c r="B86" s="124"/>
      <c r="C86" s="124"/>
      <c r="D86" s="124"/>
      <c r="E86" s="124"/>
      <c r="F86" s="124"/>
      <c r="G86" s="124"/>
      <c r="H86" s="124"/>
      <c r="I86" s="124"/>
      <c r="J86" s="124"/>
      <c r="K86" s="124"/>
      <c r="L86" s="124"/>
      <c r="M86" s="124"/>
      <c r="N86" s="121"/>
      <c r="O86" s="121"/>
      <c r="P86" s="121"/>
      <c r="Q86" s="127"/>
      <c r="U86" s="210"/>
      <c r="V86" s="210"/>
      <c r="W86" s="210"/>
    </row>
    <row r="87" spans="1:23" ht="15" customHeight="1" x14ac:dyDescent="0.25">
      <c r="A87" s="121"/>
      <c r="B87" s="141"/>
      <c r="C87" s="141"/>
      <c r="D87" s="141"/>
      <c r="E87" s="141"/>
      <c r="F87" s="141"/>
      <c r="G87" s="141"/>
      <c r="H87" s="141"/>
      <c r="I87" s="141"/>
      <c r="J87" s="141"/>
      <c r="K87" s="141"/>
      <c r="L87" s="141"/>
      <c r="M87" s="141"/>
      <c r="N87" s="121"/>
      <c r="P87" s="234" t="s">
        <v>163</v>
      </c>
      <c r="Q87" s="235">
        <v>1</v>
      </c>
    </row>
    <row r="88" spans="1:23" x14ac:dyDescent="0.25">
      <c r="A88" s="121"/>
      <c r="B88" s="141"/>
      <c r="C88" s="292"/>
      <c r="D88" s="293"/>
      <c r="E88" s="293"/>
      <c r="F88" s="294"/>
      <c r="G88" s="294"/>
      <c r="H88" s="295"/>
      <c r="I88" s="295"/>
      <c r="J88" s="293"/>
      <c r="K88" s="293"/>
      <c r="L88" s="162"/>
      <c r="M88" s="141"/>
      <c r="N88" s="121"/>
      <c r="P88" s="234" t="s">
        <v>164</v>
      </c>
      <c r="Q88" s="235" t="str" cm="1">
        <f t="array" ref="Q88">_xlfn.IFS(OR(F96="",F97=""),"",S96=S97,"JA",TRUE,"Nei")</f>
        <v/>
      </c>
    </row>
    <row r="89" spans="1:23" ht="21" x14ac:dyDescent="0.35">
      <c r="A89" s="121"/>
      <c r="B89" s="141"/>
      <c r="C89" s="163"/>
      <c r="D89" s="164"/>
      <c r="E89" s="238" t="s">
        <v>189</v>
      </c>
      <c r="F89" s="208"/>
      <c r="G89" s="208"/>
      <c r="J89" s="237"/>
      <c r="K89" s="237"/>
      <c r="L89" s="166"/>
      <c r="M89" s="141"/>
      <c r="N89" s="121"/>
      <c r="P89" s="239" t="s">
        <v>83</v>
      </c>
      <c r="Q89" s="239" t="s">
        <v>84</v>
      </c>
      <c r="R89" s="239" t="s">
        <v>85</v>
      </c>
      <c r="S89" s="239" t="s">
        <v>166</v>
      </c>
      <c r="T89" s="239" t="s">
        <v>182</v>
      </c>
    </row>
    <row r="90" spans="1:23" ht="8.1" customHeight="1" x14ac:dyDescent="0.35">
      <c r="A90" s="121"/>
      <c r="B90" s="141"/>
      <c r="C90" s="163"/>
      <c r="D90" s="164"/>
      <c r="E90" s="238"/>
      <c r="F90" s="208"/>
      <c r="G90" s="208"/>
      <c r="J90" s="237"/>
      <c r="K90" s="237"/>
      <c r="L90" s="166"/>
      <c r="M90" s="141"/>
      <c r="N90" s="121"/>
      <c r="P90" s="240"/>
      <c r="Q90" s="240"/>
      <c r="R90" s="240"/>
      <c r="S90" s="240"/>
      <c r="T90" s="240"/>
    </row>
    <row r="91" spans="1:23" ht="8.1" customHeight="1" x14ac:dyDescent="0.25">
      <c r="A91" s="121"/>
      <c r="B91" s="141"/>
      <c r="C91" s="163"/>
      <c r="D91" s="241"/>
      <c r="E91" s="242"/>
      <c r="F91" s="243"/>
      <c r="G91" s="243"/>
      <c r="H91" s="244"/>
      <c r="I91" s="245"/>
      <c r="L91" s="166"/>
      <c r="M91" s="141"/>
      <c r="N91" s="121"/>
      <c r="P91" s="246"/>
      <c r="Q91" s="246"/>
      <c r="R91" s="246"/>
      <c r="S91" s="246"/>
      <c r="T91" s="246"/>
    </row>
    <row r="92" spans="1:23" ht="15.75" x14ac:dyDescent="0.3">
      <c r="A92" s="121"/>
      <c r="B92" s="141"/>
      <c r="C92" s="163"/>
      <c r="D92" s="247"/>
      <c r="E92" s="208" t="s">
        <v>190</v>
      </c>
      <c r="F92" s="112" t="s">
        <v>129</v>
      </c>
      <c r="G92" s="250" t="s">
        <v>90</v>
      </c>
      <c r="H92" s="248"/>
      <c r="I92" s="245" t="str">
        <f>R92</f>
        <v xml:space="preserve">*obligatorisk </v>
      </c>
      <c r="J92" s="237"/>
      <c r="K92" s="237"/>
      <c r="L92" s="166"/>
      <c r="M92" s="141"/>
      <c r="N92" s="121"/>
      <c r="P92" s="253" t="str">
        <f>E92</f>
        <v>Plasseringsdato</v>
      </c>
      <c r="Q92" s="296" t="str">
        <f>F92</f>
        <v>Velg fra liste….</v>
      </c>
      <c r="R92" s="253" t="str" cm="1">
        <f t="array" ref="R92">_xlfn.IFS(F92="",$Q$8,F92=Innstillinger!$E$14,$Q$8,TRUE,"")</f>
        <v xml:space="preserve">*obligatorisk </v>
      </c>
      <c r="S92" s="253"/>
      <c r="T92" s="269"/>
    </row>
    <row r="93" spans="1:23" ht="8.1" customHeight="1" x14ac:dyDescent="0.3">
      <c r="A93" s="121"/>
      <c r="B93" s="141"/>
      <c r="C93" s="163"/>
      <c r="D93" s="247"/>
      <c r="E93" s="208"/>
      <c r="F93" s="237"/>
      <c r="G93" s="250"/>
      <c r="H93" s="248"/>
      <c r="I93" s="245"/>
      <c r="J93" s="237"/>
      <c r="K93" s="237"/>
      <c r="L93" s="166"/>
      <c r="M93" s="141"/>
      <c r="N93" s="121"/>
      <c r="P93" s="297"/>
      <c r="Q93" s="298"/>
      <c r="R93" s="297"/>
      <c r="S93" s="297"/>
      <c r="T93" s="299"/>
    </row>
    <row r="94" spans="1:23" ht="15.75" x14ac:dyDescent="0.3">
      <c r="A94" s="121"/>
      <c r="B94" s="141"/>
      <c r="C94" s="163"/>
      <c r="D94" s="247"/>
      <c r="E94" s="767" t="s">
        <v>191</v>
      </c>
      <c r="F94" s="237"/>
      <c r="G94" s="250"/>
      <c r="H94" s="248"/>
      <c r="I94" s="245"/>
      <c r="J94" s="237"/>
      <c r="K94" s="237"/>
      <c r="L94" s="166"/>
      <c r="M94" s="141"/>
      <c r="N94" s="121"/>
      <c r="P94" s="297"/>
      <c r="Q94" s="300"/>
      <c r="R94" s="297"/>
      <c r="S94" s="297"/>
      <c r="T94" s="299"/>
    </row>
    <row r="95" spans="1:23" ht="15.75" x14ac:dyDescent="0.3">
      <c r="A95" s="121"/>
      <c r="B95" s="141"/>
      <c r="C95" s="163"/>
      <c r="D95" s="247"/>
      <c r="E95" s="767"/>
      <c r="F95" s="237"/>
      <c r="G95" s="250"/>
      <c r="H95" s="248"/>
      <c r="I95" s="245"/>
      <c r="J95" s="237"/>
      <c r="K95" s="237"/>
      <c r="L95" s="166"/>
      <c r="M95" s="141"/>
      <c r="N95" s="121"/>
      <c r="P95" s="297"/>
      <c r="Q95" s="300"/>
      <c r="R95" s="297"/>
      <c r="S95" s="297"/>
      <c r="T95" s="299"/>
    </row>
    <row r="96" spans="1:23" ht="16.5" thickBot="1" x14ac:dyDescent="0.35">
      <c r="A96" s="121"/>
      <c r="B96" s="141"/>
      <c r="C96" s="163"/>
      <c r="D96" s="247"/>
      <c r="E96" s="249" t="s">
        <v>168</v>
      </c>
      <c r="F96" s="23"/>
      <c r="G96" s="250" t="s">
        <v>90</v>
      </c>
      <c r="H96" s="248"/>
      <c r="I96" s="245" t="str">
        <f>R96</f>
        <v xml:space="preserve">*obligatorisk </v>
      </c>
      <c r="J96" s="237"/>
      <c r="K96" s="237"/>
      <c r="L96" s="166"/>
      <c r="M96" s="141"/>
      <c r="N96" s="121"/>
      <c r="P96" s="253" t="str">
        <f>E96</f>
        <v>fra: (dd.mm.åååå)</v>
      </c>
      <c r="Q96" s="252"/>
      <c r="R96" s="253" t="str" cm="1">
        <f t="array" ref="R96">_xlfn.IFS(F96="",$Q$8,TRUE,"")</f>
        <v xml:space="preserve">*obligatorisk </v>
      </c>
      <c r="S96" s="254">
        <f>IF(F96&gt;=DATE(YEAR(F96),Q87,1),YEAR(F96),YEAR(F96)-1)</f>
        <v>1899</v>
      </c>
      <c r="T96" s="255">
        <f>(DATE(S96+1,Q87,1)-1)-(DATE(S96,Q87,1))+1</f>
        <v>-693597</v>
      </c>
    </row>
    <row r="97" spans="1:20" ht="16.5" thickTop="1" x14ac:dyDescent="0.3">
      <c r="A97" s="121"/>
      <c r="B97" s="141"/>
      <c r="C97" s="163"/>
      <c r="D97" s="247"/>
      <c r="E97" s="249" t="s">
        <v>169</v>
      </c>
      <c r="F97" s="24"/>
      <c r="G97" s="250" t="s">
        <v>90</v>
      </c>
      <c r="H97" s="248"/>
      <c r="I97" s="245" t="str">
        <f>R97</f>
        <v xml:space="preserve">*obligatorisk </v>
      </c>
      <c r="J97" s="237"/>
      <c r="K97" s="237"/>
      <c r="L97" s="166"/>
      <c r="M97" s="141"/>
      <c r="N97" s="121"/>
      <c r="P97" s="253" t="str">
        <f>E97</f>
        <v>til: (dd.mm.åååå)</v>
      </c>
      <c r="Q97" s="252"/>
      <c r="R97" s="253" t="str" cm="1">
        <f t="array" ref="R97">_xlfn.IFS(F97="",$Q$8,F96="","",F96&gt;F97,$Q$7,F97&gt;(EDATE(F96,12)-1),$Q$6,TRUE,"")</f>
        <v xml:space="preserve">*obligatorisk </v>
      </c>
      <c r="S97" s="254">
        <f>IF(F97&gt;=DATE(YEAR(F97),Q87,1),YEAR(F97),YEAR(F97)-1)</f>
        <v>1899</v>
      </c>
      <c r="T97" s="255">
        <f>IF(Q88="Ja","",(DATE(S97+1,Q87,1)-1)-(DATE(S97,Q87,1))+1)</f>
        <v>-693597</v>
      </c>
    </row>
    <row r="98" spans="1:20" ht="8.1" customHeight="1" x14ac:dyDescent="0.3">
      <c r="A98" s="121"/>
      <c r="B98" s="141"/>
      <c r="C98" s="163"/>
      <c r="D98" s="256"/>
      <c r="E98" s="257"/>
      <c r="F98" s="258"/>
      <c r="G98" s="259"/>
      <c r="H98" s="260"/>
      <c r="I98" s="245"/>
      <c r="J98" s="237"/>
      <c r="K98" s="237"/>
      <c r="L98" s="166"/>
      <c r="M98" s="141"/>
      <c r="N98" s="121"/>
      <c r="P98" s="261"/>
      <c r="Q98" s="262"/>
      <c r="R98" s="262"/>
      <c r="S98" s="262"/>
      <c r="T98" s="262"/>
    </row>
    <row r="99" spans="1:20" ht="8.1" customHeight="1" x14ac:dyDescent="0.3">
      <c r="A99" s="121"/>
      <c r="B99" s="141"/>
      <c r="C99" s="163"/>
      <c r="D99" s="164"/>
      <c r="E99" s="208"/>
      <c r="G99" s="250"/>
      <c r="H99" s="237"/>
      <c r="I99" s="237"/>
      <c r="J99" s="237"/>
      <c r="K99" s="237"/>
      <c r="L99" s="166"/>
      <c r="M99" s="141"/>
      <c r="N99" s="121"/>
      <c r="P99" s="263"/>
      <c r="Q99" s="263"/>
      <c r="R99" s="263"/>
      <c r="S99" s="263"/>
      <c r="T99" s="263"/>
    </row>
    <row r="100" spans="1:20" x14ac:dyDescent="0.25">
      <c r="A100" s="121"/>
      <c r="B100" s="141"/>
      <c r="C100" s="163"/>
      <c r="D100" s="241"/>
      <c r="E100" s="264"/>
      <c r="F100" s="264"/>
      <c r="G100" s="264"/>
      <c r="H100" s="244"/>
      <c r="J100" s="237"/>
      <c r="K100" s="237"/>
      <c r="L100" s="166"/>
      <c r="M100" s="141"/>
      <c r="N100" s="121"/>
      <c r="P100" s="265" t="s">
        <v>119</v>
      </c>
      <c r="Q100" s="266" t="str">
        <f>IF(R92&amp;R96&amp;R97="","ja","nei")</f>
        <v>nei</v>
      </c>
      <c r="R100" s="246"/>
      <c r="S100" s="246"/>
      <c r="T100" s="246"/>
    </row>
    <row r="101" spans="1:20" ht="16.5" thickBot="1" x14ac:dyDescent="0.35">
      <c r="A101" s="121"/>
      <c r="B101" s="141"/>
      <c r="C101" s="163"/>
      <c r="D101" s="247"/>
      <c r="E101" s="208" t="str">
        <f>P101</f>
        <v>månedlig sats</v>
      </c>
      <c r="F101" s="267" t="str">
        <f>IF(Q100="nei","",Q101)</f>
        <v/>
      </c>
      <c r="G101" s="250"/>
      <c r="H101" s="248"/>
      <c r="I101" s="301"/>
      <c r="J101" s="237"/>
      <c r="K101" s="237"/>
      <c r="L101" s="166"/>
      <c r="M101" s="141"/>
      <c r="N101" s="121"/>
      <c r="O101" s="302"/>
      <c r="P101" s="234" t="str">
        <f>IFERROR(IF(S96&gt;2021,"månedlig sats for "&amp;S96&amp;S101,"månedlig sats"),"månedlig sats")</f>
        <v>månedlig sats</v>
      </c>
      <c r="Q101" s="268" t="str" cm="1">
        <f t="array" ref="Q101">_xlfn.XLOOKUP(S96,Innstillinger!$B$29:$B$35,_xlfn.IFS(Q92=Innstillinger!D27,Beredskapshjem,Q92=Innstillinger!E27,Før2022,TRUE,Innstillinger!K29:K35),"-")</f>
        <v>-</v>
      </c>
      <c r="R101" s="253" t="str">
        <f>IF(R96&amp;R97="",_xlfn.XLOOKUP(S96,Innstillinger!$B$29:$B$35,Innstillinger!$I$29:$I$35,""),"")</f>
        <v/>
      </c>
      <c r="S101" s="253" t="str">
        <f>IF(_xlfn.XLOOKUP(S96,Innstillinger!$B$29:$B$35,Innstillinger!$J$29:$J$35,"")="-","*","")</f>
        <v/>
      </c>
      <c r="T101" s="269"/>
    </row>
    <row r="102" spans="1:20" ht="16.5" customHeight="1" thickTop="1" thickBot="1" x14ac:dyDescent="0.35">
      <c r="A102" s="121"/>
      <c r="B102" s="141"/>
      <c r="C102" s="163"/>
      <c r="D102" s="247"/>
      <c r="E102" s="208" t="str">
        <f t="shared" ref="E102:E103" si="4">P102</f>
        <v>døgnsats</v>
      </c>
      <c r="F102" s="270" t="str">
        <f>IF(Q100="nei","",Q102)</f>
        <v/>
      </c>
      <c r="G102" s="250"/>
      <c r="H102" s="271"/>
      <c r="I102" s="236"/>
      <c r="J102" s="237"/>
      <c r="K102" s="237"/>
      <c r="L102" s="166"/>
      <c r="M102" s="141"/>
      <c r="N102" s="121"/>
      <c r="P102" s="234" t="str">
        <f>IFERROR(IF(S96&gt;2021,"døgnsats for "&amp;S96,"døgnsats"),"døgnsats")</f>
        <v>døgnsats</v>
      </c>
      <c r="Q102" s="268" t="e">
        <f>Q101*12/T96</f>
        <v>#VALUE!</v>
      </c>
      <c r="R102" s="253"/>
      <c r="S102" s="253"/>
      <c r="T102" s="253"/>
    </row>
    <row r="103" spans="1:20" ht="16.5" customHeight="1" thickTop="1" x14ac:dyDescent="0.3">
      <c r="A103" s="121"/>
      <c r="B103" s="141"/>
      <c r="C103" s="163"/>
      <c r="D103" s="247"/>
      <c r="E103" s="208" t="str">
        <f t="shared" si="4"/>
        <v>antall dager</v>
      </c>
      <c r="F103" s="272" t="str">
        <f>IF(Q100="nei","",Q103)</f>
        <v/>
      </c>
      <c r="G103" s="250"/>
      <c r="H103" s="248"/>
      <c r="J103" s="237"/>
      <c r="K103" s="237"/>
      <c r="L103" s="166"/>
      <c r="M103" s="141"/>
      <c r="N103" s="121"/>
      <c r="P103" s="234" t="str">
        <f>IFERROR(IF(S96&gt;2021,"antall dager for "&amp;S96,"antall dager"),"antall dager")</f>
        <v>antall dager</v>
      </c>
      <c r="Q103" s="273" t="str" cm="1">
        <f t="array" ref="Q103">_xlfn.IFS(F97="","",F96="","",Q88="JA",F97-F96,1=1,(DATE(S96+1,Q87,1)-1)-F96+1)</f>
        <v/>
      </c>
      <c r="R103" s="253"/>
      <c r="S103" s="253"/>
      <c r="T103" s="253"/>
    </row>
    <row r="104" spans="1:20" x14ac:dyDescent="0.25">
      <c r="A104" s="121"/>
      <c r="B104" s="141"/>
      <c r="C104" s="163"/>
      <c r="D104" s="247"/>
      <c r="E104" s="274" t="str">
        <f>R101</f>
        <v/>
      </c>
      <c r="H104" s="248"/>
      <c r="J104" s="237"/>
      <c r="K104" s="237"/>
      <c r="L104" s="166"/>
      <c r="M104" s="141"/>
      <c r="N104" s="121"/>
      <c r="P104" s="275" t="s">
        <v>184</v>
      </c>
      <c r="Q104" s="276" t="str">
        <f>IF(Q100="nei","nei",IF(Q88="ja","nei","ja"))</f>
        <v>nei</v>
      </c>
      <c r="R104" s="262"/>
      <c r="S104" s="262"/>
      <c r="T104" s="262"/>
    </row>
    <row r="105" spans="1:20" ht="8.1" customHeight="1" x14ac:dyDescent="0.25">
      <c r="A105" s="121"/>
      <c r="B105" s="141"/>
      <c r="C105" s="163"/>
      <c r="D105" s="247"/>
      <c r="H105" s="248"/>
      <c r="J105" s="237"/>
      <c r="K105" s="237"/>
      <c r="L105" s="166"/>
      <c r="M105" s="141"/>
      <c r="N105" s="121"/>
      <c r="P105" s="246"/>
      <c r="Q105" s="246"/>
      <c r="R105" s="246"/>
      <c r="S105" s="246"/>
      <c r="T105" s="246"/>
    </row>
    <row r="106" spans="1:20" ht="16.5" customHeight="1" thickBot="1" x14ac:dyDescent="0.35">
      <c r="A106" s="121"/>
      <c r="B106" s="141"/>
      <c r="C106" s="163"/>
      <c r="D106" s="247"/>
      <c r="E106" s="208" t="str" cm="1">
        <f t="array" ref="E106">IF(Q104="ja",P106:Q108,"")</f>
        <v/>
      </c>
      <c r="F106" s="267"/>
      <c r="G106" s="250"/>
      <c r="H106" s="248"/>
      <c r="I106" s="301"/>
      <c r="J106" s="237"/>
      <c r="K106" s="237"/>
      <c r="L106" s="166"/>
      <c r="M106" s="141"/>
      <c r="N106" s="121"/>
      <c r="P106" s="234" t="str">
        <f>"månedlig sats for "&amp;S97&amp;S106</f>
        <v>månedlig sats for 1899</v>
      </c>
      <c r="Q106" s="268" t="str" cm="1">
        <f t="array" ref="Q106">_xlfn.XLOOKUP(S97,Innstillinger!$B$29:$B$35,_xlfn.IFS(Q92=Innstillinger!D27,Beredskapshjem,Q92=Innstillinger!E27,Før2022,TRUE,Innstillinger!K29:K35),"-")</f>
        <v>-</v>
      </c>
      <c r="R106" s="253" t="str">
        <f>IF(Q104="nei","",IF(Q100="ja",_xlfn.XLOOKUP(S97,Innstillinger!$B$29:$B$35,Innstillinger!$I$29:$I$35,""),""))</f>
        <v/>
      </c>
      <c r="S106" s="253" t="str">
        <f>IF(_xlfn.XLOOKUP(S97,Innstillinger!$B$29:$B$35,Innstillinger!$J$29:$J$35,"")="-","*","")</f>
        <v/>
      </c>
      <c r="T106" s="253"/>
    </row>
    <row r="107" spans="1:20" ht="16.5" customHeight="1" thickTop="1" thickBot="1" x14ac:dyDescent="0.35">
      <c r="A107" s="121"/>
      <c r="B107" s="141"/>
      <c r="C107" s="163"/>
      <c r="D107" s="247"/>
      <c r="E107" s="208"/>
      <c r="F107" s="270"/>
      <c r="G107" s="250"/>
      <c r="H107" s="248"/>
      <c r="J107" s="237"/>
      <c r="K107" s="237"/>
      <c r="L107" s="166"/>
      <c r="M107" s="141"/>
      <c r="N107" s="121"/>
      <c r="P107" s="234" t="str">
        <f>"døgnsats for "&amp;S97</f>
        <v>døgnsats for 1899</v>
      </c>
      <c r="Q107" s="268" t="e">
        <f>Q106*12/T97</f>
        <v>#VALUE!</v>
      </c>
      <c r="R107" s="253"/>
      <c r="S107" s="253"/>
      <c r="T107" s="253"/>
    </row>
    <row r="108" spans="1:20" ht="16.5" customHeight="1" thickTop="1" x14ac:dyDescent="0.3">
      <c r="A108" s="121"/>
      <c r="B108" s="141"/>
      <c r="C108" s="163"/>
      <c r="D108" s="247"/>
      <c r="E108" s="208"/>
      <c r="F108" s="272"/>
      <c r="G108" s="250"/>
      <c r="H108" s="248"/>
      <c r="J108" s="237"/>
      <c r="K108" s="237"/>
      <c r="L108" s="166"/>
      <c r="M108" s="141"/>
      <c r="N108" s="121"/>
      <c r="P108" s="234" t="str">
        <f>"antall dager for "&amp;S97</f>
        <v>antall dager for 1899</v>
      </c>
      <c r="Q108" s="279">
        <f>IF(Q88="Ja","",F97-(DATE(S97,Q87,1)))</f>
        <v>-693598</v>
      </c>
      <c r="R108" s="253"/>
      <c r="S108" s="253"/>
      <c r="T108" s="253"/>
    </row>
    <row r="109" spans="1:20" x14ac:dyDescent="0.25">
      <c r="A109" s="121"/>
      <c r="B109" s="141"/>
      <c r="C109" s="163"/>
      <c r="D109" s="247"/>
      <c r="E109" s="274" t="str">
        <f>R106</f>
        <v/>
      </c>
      <c r="H109" s="248"/>
      <c r="J109" s="237"/>
      <c r="K109" s="237"/>
      <c r="L109" s="166"/>
      <c r="M109" s="141"/>
      <c r="N109" s="121"/>
      <c r="P109" s="262"/>
      <c r="Q109" s="280"/>
      <c r="R109" s="262"/>
      <c r="S109" s="262"/>
      <c r="T109" s="262"/>
    </row>
    <row r="110" spans="1:20" ht="5.25" customHeight="1" x14ac:dyDescent="0.25">
      <c r="A110" s="121"/>
      <c r="B110" s="141"/>
      <c r="C110" s="163"/>
      <c r="D110" s="247"/>
      <c r="E110" s="208"/>
      <c r="F110" s="281"/>
      <c r="G110" s="281"/>
      <c r="H110" s="248"/>
      <c r="J110" s="237"/>
      <c r="K110" s="237"/>
      <c r="L110" s="166"/>
      <c r="M110" s="141"/>
      <c r="N110" s="121"/>
      <c r="P110" s="246"/>
      <c r="Q110" s="282"/>
      <c r="R110" s="246"/>
      <c r="S110" s="246"/>
      <c r="T110" s="246"/>
    </row>
    <row r="111" spans="1:20" ht="18.75" x14ac:dyDescent="0.25">
      <c r="A111" s="121"/>
      <c r="B111" s="141"/>
      <c r="C111" s="163"/>
      <c r="D111" s="283"/>
      <c r="E111" s="284" t="s">
        <v>125</v>
      </c>
      <c r="F111" s="285" t="str">
        <f>Q111</f>
        <v/>
      </c>
      <c r="G111" s="286"/>
      <c r="H111" s="287"/>
      <c r="J111" s="237"/>
      <c r="K111" s="237"/>
      <c r="L111" s="166"/>
      <c r="M111" s="141"/>
      <c r="N111" s="121"/>
      <c r="P111" s="234" t="str">
        <f t="shared" ref="P111" si="5">E111</f>
        <v>Totalkostnad</v>
      </c>
      <c r="Q111" s="268" t="str">
        <f>IF(Q100="NEI","",Q102*Q103+IF(Q88="Nei",Q107*Q108,0))</f>
        <v/>
      </c>
      <c r="R111" s="253"/>
      <c r="S111" s="253"/>
      <c r="T111" s="253"/>
    </row>
    <row r="112" spans="1:20" x14ac:dyDescent="0.25">
      <c r="A112" s="121"/>
      <c r="B112" s="141"/>
      <c r="C112" s="163"/>
      <c r="D112" s="256"/>
      <c r="E112" s="288"/>
      <c r="F112" s="288"/>
      <c r="G112" s="288"/>
      <c r="H112" s="289"/>
      <c r="I112" s="236"/>
      <c r="J112" s="237"/>
      <c r="K112" s="237"/>
      <c r="L112" s="166"/>
      <c r="M112" s="141"/>
      <c r="N112" s="121"/>
    </row>
    <row r="113" spans="1:20" ht="8.1" customHeight="1" x14ac:dyDescent="0.25">
      <c r="A113" s="121"/>
      <c r="B113" s="141"/>
      <c r="C113" s="163"/>
      <c r="D113" s="164"/>
      <c r="E113" s="236"/>
      <c r="F113" s="236"/>
      <c r="G113" s="236"/>
      <c r="H113" s="236"/>
      <c r="I113" s="237"/>
      <c r="J113" s="237"/>
      <c r="K113" s="237"/>
      <c r="L113" s="303"/>
      <c r="M113" s="141"/>
      <c r="N113" s="121"/>
    </row>
    <row r="114" spans="1:20" x14ac:dyDescent="0.25">
      <c r="A114" s="121"/>
      <c r="B114" s="141"/>
      <c r="C114" s="163"/>
      <c r="D114" s="241"/>
      <c r="E114" s="770" t="str">
        <f>IF(E115="","Skriv kommentar:","")</f>
        <v>Skriv kommentar:</v>
      </c>
      <c r="F114" s="770"/>
      <c r="G114" s="770"/>
      <c r="H114" s="290"/>
      <c r="I114" s="237"/>
      <c r="J114" s="237"/>
      <c r="K114" s="237"/>
      <c r="L114" s="303"/>
      <c r="M114" s="141"/>
      <c r="N114" s="121"/>
    </row>
    <row r="115" spans="1:20" x14ac:dyDescent="0.25">
      <c r="A115" s="121"/>
      <c r="B115" s="141"/>
      <c r="C115" s="163"/>
      <c r="D115" s="247"/>
      <c r="E115" s="768"/>
      <c r="F115" s="768"/>
      <c r="G115" s="768"/>
      <c r="H115" s="271"/>
      <c r="I115" s="237"/>
      <c r="J115" s="237"/>
      <c r="K115" s="237"/>
      <c r="L115" s="303"/>
      <c r="M115" s="141"/>
      <c r="N115" s="121"/>
    </row>
    <row r="116" spans="1:20" x14ac:dyDescent="0.25">
      <c r="A116" s="121"/>
      <c r="B116" s="141"/>
      <c r="C116" s="163"/>
      <c r="D116" s="247"/>
      <c r="E116" s="768"/>
      <c r="F116" s="768"/>
      <c r="G116" s="768"/>
      <c r="H116" s="271"/>
      <c r="I116" s="237"/>
      <c r="J116" s="237"/>
      <c r="K116" s="237"/>
      <c r="L116" s="303"/>
      <c r="M116" s="141"/>
      <c r="N116" s="121"/>
    </row>
    <row r="117" spans="1:20" x14ac:dyDescent="0.25">
      <c r="A117" s="121"/>
      <c r="B117" s="141"/>
      <c r="C117" s="163"/>
      <c r="D117" s="247"/>
      <c r="E117" s="768"/>
      <c r="F117" s="768"/>
      <c r="G117" s="768"/>
      <c r="H117" s="271"/>
      <c r="I117" s="237"/>
      <c r="J117" s="237"/>
      <c r="K117" s="237"/>
      <c r="L117" s="303"/>
      <c r="M117" s="141"/>
      <c r="N117" s="121"/>
    </row>
    <row r="118" spans="1:20" x14ac:dyDescent="0.25">
      <c r="A118" s="121"/>
      <c r="B118" s="141"/>
      <c r="C118" s="163"/>
      <c r="D118" s="247"/>
      <c r="E118" s="768"/>
      <c r="F118" s="768"/>
      <c r="G118" s="768"/>
      <c r="H118" s="271"/>
      <c r="I118" s="237"/>
      <c r="J118" s="237"/>
      <c r="K118" s="237"/>
      <c r="L118" s="303"/>
      <c r="M118" s="141"/>
      <c r="N118" s="121"/>
    </row>
    <row r="119" spans="1:20" x14ac:dyDescent="0.25">
      <c r="A119" s="121"/>
      <c r="B119" s="141"/>
      <c r="C119" s="163"/>
      <c r="D119" s="256"/>
      <c r="E119" s="769"/>
      <c r="F119" s="769"/>
      <c r="G119" s="769"/>
      <c r="H119" s="289"/>
      <c r="I119" s="237"/>
      <c r="J119" s="237"/>
      <c r="K119" s="237"/>
      <c r="L119" s="303"/>
      <c r="M119" s="141"/>
      <c r="N119" s="121"/>
    </row>
    <row r="120" spans="1:20" x14ac:dyDescent="0.25">
      <c r="A120" s="121"/>
      <c r="B120" s="141"/>
      <c r="C120" s="304"/>
      <c r="D120" s="305"/>
      <c r="E120" s="306"/>
      <c r="F120" s="306"/>
      <c r="G120" s="306"/>
      <c r="H120" s="306"/>
      <c r="I120" s="307"/>
      <c r="J120" s="307"/>
      <c r="K120" s="307"/>
      <c r="L120" s="308"/>
      <c r="M120" s="141"/>
      <c r="N120" s="121"/>
    </row>
    <row r="121" spans="1:20" x14ac:dyDescent="0.25">
      <c r="A121" s="121"/>
      <c r="B121" s="141"/>
      <c r="C121" s="141"/>
      <c r="D121" s="141"/>
      <c r="E121" s="141"/>
      <c r="F121" s="141"/>
      <c r="G121" s="141"/>
      <c r="H121" s="141"/>
      <c r="I121" s="141"/>
      <c r="J121" s="141"/>
      <c r="K121" s="141"/>
      <c r="L121" s="141"/>
      <c r="M121" s="141"/>
      <c r="N121" s="121"/>
      <c r="P121" s="309"/>
      <c r="Q121" s="291"/>
      <c r="R121" s="291"/>
      <c r="S121" s="291"/>
    </row>
    <row r="122" spans="1:20" ht="6" customHeight="1" x14ac:dyDescent="0.25">
      <c r="A122" s="121"/>
      <c r="B122" s="124"/>
      <c r="C122" s="124"/>
      <c r="D122" s="124"/>
      <c r="E122" s="124"/>
      <c r="F122" s="124"/>
      <c r="G122" s="124"/>
      <c r="H122" s="124"/>
      <c r="I122" s="124"/>
      <c r="J122" s="124"/>
      <c r="K122" s="124"/>
      <c r="L122" s="124"/>
      <c r="M122" s="121"/>
      <c r="N122" s="121"/>
    </row>
    <row r="123" spans="1:20" ht="15" customHeight="1" x14ac:dyDescent="0.25">
      <c r="A123" s="121"/>
      <c r="B123" s="141"/>
      <c r="C123" s="141"/>
      <c r="D123" s="141"/>
      <c r="E123" s="141"/>
      <c r="F123" s="141"/>
      <c r="G123" s="141"/>
      <c r="H123" s="141"/>
      <c r="I123" s="141"/>
      <c r="J123" s="141"/>
      <c r="K123" s="141"/>
      <c r="L123" s="141"/>
      <c r="M123" s="141"/>
      <c r="N123" s="121"/>
      <c r="P123" s="234" t="s">
        <v>163</v>
      </c>
      <c r="Q123" s="235">
        <v>1</v>
      </c>
    </row>
    <row r="124" spans="1:20" x14ac:dyDescent="0.25">
      <c r="A124" s="121"/>
      <c r="B124" s="141"/>
      <c r="C124" s="310"/>
      <c r="D124" s="311"/>
      <c r="E124" s="312"/>
      <c r="F124" s="312"/>
      <c r="G124" s="312"/>
      <c r="H124" s="312"/>
      <c r="I124" s="313"/>
      <c r="J124" s="313"/>
      <c r="K124" s="313"/>
      <c r="L124" s="314"/>
      <c r="M124" s="141"/>
      <c r="N124" s="121"/>
      <c r="P124" s="234" t="s">
        <v>164</v>
      </c>
      <c r="Q124" s="235" t="str" cm="1">
        <f t="array" ref="Q124">_xlfn.IFS(OR(F128="",F129=""),"",S128=S129,"JA",TRUE,"Nei")</f>
        <v/>
      </c>
    </row>
    <row r="125" spans="1:20" ht="21" x14ac:dyDescent="0.35">
      <c r="A125" s="121"/>
      <c r="B125" s="141"/>
      <c r="C125" s="163"/>
      <c r="D125" s="164"/>
      <c r="E125" s="238" t="s">
        <v>192</v>
      </c>
      <c r="F125" s="208"/>
      <c r="G125" s="208"/>
      <c r="L125" s="166"/>
      <c r="M125" s="141"/>
      <c r="N125" s="121"/>
      <c r="P125" s="239" t="s">
        <v>83</v>
      </c>
      <c r="Q125" s="239" t="s">
        <v>84</v>
      </c>
      <c r="R125" s="239" t="s">
        <v>85</v>
      </c>
      <c r="S125" s="239" t="s">
        <v>166</v>
      </c>
      <c r="T125" s="239" t="s">
        <v>182</v>
      </c>
    </row>
    <row r="126" spans="1:20" ht="8.1" customHeight="1" x14ac:dyDescent="0.35">
      <c r="A126" s="121"/>
      <c r="B126" s="141"/>
      <c r="C126" s="163"/>
      <c r="D126" s="164"/>
      <c r="E126" s="238"/>
      <c r="F126" s="208"/>
      <c r="G126" s="208"/>
      <c r="L126" s="166"/>
      <c r="M126" s="141"/>
      <c r="N126" s="121"/>
      <c r="P126" s="240"/>
      <c r="Q126" s="240"/>
      <c r="R126" s="240"/>
      <c r="S126" s="240"/>
      <c r="T126" s="240"/>
    </row>
    <row r="127" spans="1:20" ht="8.1" customHeight="1" x14ac:dyDescent="0.25">
      <c r="A127" s="121"/>
      <c r="B127" s="141"/>
      <c r="C127" s="163"/>
      <c r="D127" s="241"/>
      <c r="E127" s="242"/>
      <c r="F127" s="243"/>
      <c r="G127" s="243"/>
      <c r="H127" s="244"/>
      <c r="I127" s="245"/>
      <c r="J127" s="237"/>
      <c r="K127" s="237"/>
      <c r="L127" s="166"/>
      <c r="M127" s="141"/>
      <c r="N127" s="121"/>
      <c r="P127" s="246"/>
      <c r="Q127" s="246"/>
      <c r="R127" s="246"/>
      <c r="S127" s="246"/>
      <c r="T127" s="246"/>
    </row>
    <row r="128" spans="1:20" ht="16.5" thickBot="1" x14ac:dyDescent="0.35">
      <c r="A128" s="121"/>
      <c r="B128" s="141"/>
      <c r="C128" s="163"/>
      <c r="D128" s="247"/>
      <c r="E128" s="208" t="s">
        <v>193</v>
      </c>
      <c r="F128" s="23"/>
      <c r="G128" s="250" t="s">
        <v>90</v>
      </c>
      <c r="H128" s="248"/>
      <c r="I128" s="245" t="str">
        <f>R128</f>
        <v xml:space="preserve">*obligatorisk </v>
      </c>
      <c r="J128" s="237"/>
      <c r="K128" s="237"/>
      <c r="L128" s="166"/>
      <c r="M128" s="141"/>
      <c r="N128" s="121"/>
      <c r="P128" s="251" t="str">
        <f>E128</f>
        <v>Tiltaksstart (dd.mm.åååå)</v>
      </c>
      <c r="Q128" s="252"/>
      <c r="R128" s="253" t="str" cm="1">
        <f t="array" ref="R128">_xlfn.IFS(F128="",$Q$8,TRUE,"")</f>
        <v xml:space="preserve">*obligatorisk </v>
      </c>
      <c r="S128" s="254">
        <f>IF(F128&gt;=DATE(YEAR(F128),Q123,1),YEAR(F128),YEAR(F128)-1)</f>
        <v>1899</v>
      </c>
      <c r="T128" s="255">
        <f>(DATE(S128+1,Q123,1)-1)-(DATE(S128,Q123,1))+1</f>
        <v>-693597</v>
      </c>
    </row>
    <row r="129" spans="1:20" ht="16.5" thickTop="1" x14ac:dyDescent="0.3">
      <c r="A129" s="121"/>
      <c r="B129" s="141"/>
      <c r="C129" s="163"/>
      <c r="D129" s="247"/>
      <c r="E129" s="208" t="s">
        <v>194</v>
      </c>
      <c r="F129" s="24"/>
      <c r="G129" s="250" t="s">
        <v>90</v>
      </c>
      <c r="H129" s="248"/>
      <c r="I129" s="245" t="str">
        <f>R129</f>
        <v xml:space="preserve">*obligatorisk </v>
      </c>
      <c r="J129" s="237"/>
      <c r="K129" s="237"/>
      <c r="L129" s="166"/>
      <c r="M129" s="141"/>
      <c r="N129" s="121"/>
      <c r="P129" s="251" t="str">
        <f>E129</f>
        <v>Tiltaksslutt (dd.mm.åååå)</v>
      </c>
      <c r="Q129" s="252"/>
      <c r="R129" s="253" t="str" cm="1">
        <f t="array" ref="R129">_xlfn.IFS(F129="",$Q$8,F128="","",F128&gt;F129,$Q$7,F129&gt;(EDATE(F128,12)-1),$Q$6,TRUE,"")</f>
        <v xml:space="preserve">*obligatorisk </v>
      </c>
      <c r="S129" s="254">
        <f>IF(F129&gt;=DATE(YEAR(F129),Q123,1),YEAR(F129),YEAR(F129)-1)</f>
        <v>1899</v>
      </c>
      <c r="T129" s="255">
        <f>IF(Q124="Ja","",(DATE(S129+1,Q123,1)-1)-(DATE(S129,Q123,1))+1)</f>
        <v>-693597</v>
      </c>
    </row>
    <row r="130" spans="1:20" ht="8.1" customHeight="1" x14ac:dyDescent="0.3">
      <c r="A130" s="121"/>
      <c r="B130" s="141"/>
      <c r="C130" s="163"/>
      <c r="D130" s="256"/>
      <c r="E130" s="257"/>
      <c r="F130" s="258"/>
      <c r="G130" s="259"/>
      <c r="H130" s="260"/>
      <c r="I130" s="245"/>
      <c r="J130" s="237"/>
      <c r="K130" s="237"/>
      <c r="L130" s="166"/>
      <c r="M130" s="141"/>
      <c r="N130" s="121"/>
      <c r="P130" s="261"/>
      <c r="Q130" s="262"/>
      <c r="R130" s="262"/>
      <c r="S130" s="262"/>
      <c r="T130" s="262"/>
    </row>
    <row r="131" spans="1:20" ht="8.1" customHeight="1" x14ac:dyDescent="0.3">
      <c r="A131" s="121"/>
      <c r="B131" s="141"/>
      <c r="C131" s="163"/>
      <c r="D131" s="164"/>
      <c r="E131" s="208"/>
      <c r="G131" s="250"/>
      <c r="H131" s="237"/>
      <c r="I131" s="237"/>
      <c r="J131" s="237"/>
      <c r="K131" s="237"/>
      <c r="L131" s="166"/>
      <c r="M131" s="141"/>
      <c r="N131" s="121"/>
      <c r="P131" s="263"/>
      <c r="Q131" s="263"/>
      <c r="R131" s="263"/>
      <c r="S131" s="263"/>
      <c r="T131" s="263"/>
    </row>
    <row r="132" spans="1:20" x14ac:dyDescent="0.25">
      <c r="A132" s="121"/>
      <c r="B132" s="141"/>
      <c r="C132" s="163"/>
      <c r="D132" s="241"/>
      <c r="E132" s="264"/>
      <c r="F132" s="264"/>
      <c r="G132" s="264"/>
      <c r="H132" s="244"/>
      <c r="I132" s="237"/>
      <c r="J132" s="237"/>
      <c r="K132" s="237"/>
      <c r="L132" s="303"/>
      <c r="M132" s="141"/>
      <c r="N132" s="121"/>
      <c r="P132" s="265" t="s">
        <v>158</v>
      </c>
      <c r="Q132" s="266" t="str">
        <f>IF(R128&amp;R129="","ja","nei")</f>
        <v>nei</v>
      </c>
      <c r="R132" s="246"/>
      <c r="S132" s="246"/>
      <c r="T132" s="246"/>
    </row>
    <row r="133" spans="1:20" ht="15.75" thickBot="1" x14ac:dyDescent="0.3">
      <c r="A133" s="121"/>
      <c r="B133" s="141"/>
      <c r="C133" s="163"/>
      <c r="D133" s="247"/>
      <c r="E133" s="208" t="str">
        <f>P133</f>
        <v>månedlig sats</v>
      </c>
      <c r="F133" s="267" t="str">
        <f>IF(Q132="nei","",Q133)</f>
        <v/>
      </c>
      <c r="H133" s="248"/>
      <c r="I133" s="237"/>
      <c r="J133" s="237"/>
      <c r="K133" s="237"/>
      <c r="L133" s="303"/>
      <c r="M133" s="141"/>
      <c r="N133" s="121"/>
      <c r="P133" s="234" t="str">
        <f>IFERROR(IF(S128&gt;2021,"månedlig sats for "&amp;S128&amp;S133,"månedlig sats"),"månedlig sats")</f>
        <v>månedlig sats</v>
      </c>
      <c r="Q133" s="268" t="str">
        <f>_xlfn.XLOOKUP(S128,Innstillinger!$B$29:$B$35,MST_FFT,"-")</f>
        <v>-</v>
      </c>
      <c r="R133" s="253" t="str">
        <f>IF(R128&amp;R129="",_xlfn.XLOOKUP(S128,Innstillinger!$B$29:$B$35,Innstillinger!$I$29:$I$35,""),"")</f>
        <v/>
      </c>
      <c r="S133" s="253" t="str">
        <f>IF(_xlfn.XLOOKUP(S128,Innstillinger!$B$29:$B$35,Innstillinger!$J$29:$J$35,"")="-","*","")</f>
        <v/>
      </c>
      <c r="T133" s="269"/>
    </row>
    <row r="134" spans="1:20" ht="16.5" customHeight="1" thickTop="1" thickBot="1" x14ac:dyDescent="0.3">
      <c r="A134" s="121"/>
      <c r="B134" s="141"/>
      <c r="C134" s="163"/>
      <c r="D134" s="247"/>
      <c r="E134" s="208" t="str">
        <f t="shared" ref="E134:E135" si="6">P134</f>
        <v>døgnsats</v>
      </c>
      <c r="F134" s="270" t="str">
        <f>IF(Q132="nei","",Q134)</f>
        <v/>
      </c>
      <c r="H134" s="271"/>
      <c r="I134" s="237"/>
      <c r="J134" s="237"/>
      <c r="K134" s="237"/>
      <c r="L134" s="303"/>
      <c r="M134" s="141"/>
      <c r="N134" s="121"/>
      <c r="P134" s="234" t="str">
        <f>IFERROR(IF(S128&gt;2021,"døgnsats for "&amp;S128,"døgnsats"),"døgnsats")</f>
        <v>døgnsats</v>
      </c>
      <c r="Q134" s="268" t="e">
        <f>Q133*12/T128</f>
        <v>#VALUE!</v>
      </c>
      <c r="R134" s="253"/>
      <c r="S134" s="253"/>
      <c r="T134" s="253"/>
    </row>
    <row r="135" spans="1:20" ht="16.5" customHeight="1" thickTop="1" x14ac:dyDescent="0.25">
      <c r="A135" s="121"/>
      <c r="B135" s="141"/>
      <c r="C135" s="163"/>
      <c r="D135" s="247"/>
      <c r="E135" s="208" t="str">
        <f t="shared" si="6"/>
        <v>antall dager</v>
      </c>
      <c r="F135" s="272" t="str">
        <f>IF(Q132="nei","",Q135)</f>
        <v/>
      </c>
      <c r="H135" s="248"/>
      <c r="I135" s="237"/>
      <c r="J135" s="237"/>
      <c r="K135" s="237"/>
      <c r="L135" s="303"/>
      <c r="M135" s="141"/>
      <c r="N135" s="121"/>
      <c r="P135" s="234" t="str">
        <f>IFERROR(IF(S128&gt;2021,"antall dager for "&amp;S128,"antall dager"),"antall dager")</f>
        <v>antall dager</v>
      </c>
      <c r="Q135" s="273" t="str" cm="1">
        <f t="array" ref="Q135">_xlfn.IFS(F129="","",F128="","",Q124="JA",F129-F128,1=1,(DATE(S128+1,Q123,1)-1)-F128+1)</f>
        <v/>
      </c>
      <c r="R135" s="253"/>
      <c r="S135" s="253"/>
      <c r="T135" s="253"/>
    </row>
    <row r="136" spans="1:20" x14ac:dyDescent="0.25">
      <c r="A136" s="121"/>
      <c r="B136" s="141"/>
      <c r="C136" s="163"/>
      <c r="D136" s="247"/>
      <c r="E136" s="274" t="str">
        <f>R133</f>
        <v/>
      </c>
      <c r="H136" s="248"/>
      <c r="I136" s="237"/>
      <c r="J136" s="237"/>
      <c r="K136" s="237"/>
      <c r="L136" s="303"/>
      <c r="M136" s="141"/>
      <c r="N136" s="121"/>
      <c r="P136" s="275" t="s">
        <v>184</v>
      </c>
      <c r="Q136" s="276" t="str">
        <f>IF(Q132="nei","nei",IF(Q124="ja","nei","ja"))</f>
        <v>nei</v>
      </c>
      <c r="R136" s="262"/>
      <c r="S136" s="262"/>
      <c r="T136" s="262"/>
    </row>
    <row r="137" spans="1:20" ht="8.1" customHeight="1" x14ac:dyDescent="0.25">
      <c r="A137" s="121"/>
      <c r="B137" s="141"/>
      <c r="C137" s="163"/>
      <c r="D137" s="247"/>
      <c r="H137" s="248"/>
      <c r="I137" s="237"/>
      <c r="J137" s="237"/>
      <c r="K137" s="237"/>
      <c r="L137" s="303"/>
      <c r="M137" s="141"/>
      <c r="N137" s="121"/>
      <c r="P137" s="246"/>
      <c r="Q137" s="246"/>
      <c r="R137" s="246"/>
      <c r="S137" s="246"/>
      <c r="T137" s="246"/>
    </row>
    <row r="138" spans="1:20" ht="16.5" customHeight="1" thickBot="1" x14ac:dyDescent="0.3">
      <c r="A138" s="121"/>
      <c r="B138" s="141"/>
      <c r="C138" s="163"/>
      <c r="D138" s="247"/>
      <c r="E138" s="208" t="str" cm="1">
        <f t="array" ref="E138">IF(Q136="ja",P138:Q140,"")</f>
        <v/>
      </c>
      <c r="F138" s="267"/>
      <c r="G138" s="277"/>
      <c r="H138" s="248"/>
      <c r="I138" s="237"/>
      <c r="J138" s="237"/>
      <c r="K138" s="237"/>
      <c r="L138" s="303"/>
      <c r="M138" s="141"/>
      <c r="N138" s="121"/>
      <c r="P138" s="234" t="str">
        <f>"månedlig sats for "&amp;S129&amp;S138</f>
        <v>månedlig sats for 1899</v>
      </c>
      <c r="Q138" s="268" t="str">
        <f>_xlfn.XLOOKUP(S129,Innstillinger!$B$29:$B$35,MST_FFT,"-")</f>
        <v>-</v>
      </c>
      <c r="R138" s="253" t="str">
        <f>IF(Q136="nei","",IF(Q132="ja",_xlfn.XLOOKUP(S129,Innstillinger!$B$29:$B$35,Innstillinger!$I$29:$I$35,""),""))</f>
        <v/>
      </c>
      <c r="S138" s="253" t="str">
        <f>IF(_xlfn.XLOOKUP(S129,Innstillinger!$B$29:$B$35,Innstillinger!$J$29:$J$35,"")="-","*","")</f>
        <v/>
      </c>
      <c r="T138" s="253"/>
    </row>
    <row r="139" spans="1:20" ht="16.5" customHeight="1" thickTop="1" thickBot="1" x14ac:dyDescent="0.3">
      <c r="A139" s="121"/>
      <c r="B139" s="141"/>
      <c r="C139" s="163"/>
      <c r="D139" s="247"/>
      <c r="E139" s="208"/>
      <c r="F139" s="270"/>
      <c r="G139" s="278"/>
      <c r="H139" s="248"/>
      <c r="I139" s="237"/>
      <c r="J139" s="237"/>
      <c r="K139" s="237"/>
      <c r="L139" s="303"/>
      <c r="M139" s="141"/>
      <c r="N139" s="121"/>
      <c r="P139" s="234" t="str">
        <f>"døgnsats for "&amp;S129</f>
        <v>døgnsats for 1899</v>
      </c>
      <c r="Q139" s="268" t="e">
        <f>Q138*12/T129</f>
        <v>#VALUE!</v>
      </c>
      <c r="R139" s="253"/>
      <c r="S139" s="253"/>
      <c r="T139" s="253"/>
    </row>
    <row r="140" spans="1:20" ht="16.5" customHeight="1" thickTop="1" x14ac:dyDescent="0.25">
      <c r="A140" s="121"/>
      <c r="B140" s="141"/>
      <c r="C140" s="163"/>
      <c r="D140" s="247"/>
      <c r="E140" s="208"/>
      <c r="F140" s="272"/>
      <c r="G140" s="278"/>
      <c r="H140" s="248"/>
      <c r="I140" s="237"/>
      <c r="J140" s="237"/>
      <c r="K140" s="237"/>
      <c r="L140" s="303"/>
      <c r="M140" s="141"/>
      <c r="N140" s="121"/>
      <c r="P140" s="234" t="str">
        <f>"antall dager for "&amp;S129</f>
        <v>antall dager for 1899</v>
      </c>
      <c r="Q140" s="279">
        <f>IF(Q124="Ja","",F129-(DATE(S129,Q123,1)))</f>
        <v>-693598</v>
      </c>
      <c r="R140" s="253"/>
      <c r="S140" s="253"/>
      <c r="T140" s="253"/>
    </row>
    <row r="141" spans="1:20" x14ac:dyDescent="0.25">
      <c r="A141" s="121"/>
      <c r="B141" s="141"/>
      <c r="C141" s="163"/>
      <c r="D141" s="247"/>
      <c r="E141" s="274" t="str">
        <f>R138</f>
        <v/>
      </c>
      <c r="H141" s="248"/>
      <c r="I141" s="237"/>
      <c r="J141" s="237"/>
      <c r="K141" s="237"/>
      <c r="L141" s="303"/>
      <c r="M141" s="141"/>
      <c r="N141" s="121"/>
      <c r="P141" s="262"/>
      <c r="Q141" s="280"/>
      <c r="R141" s="262"/>
      <c r="S141" s="262"/>
      <c r="T141" s="262"/>
    </row>
    <row r="142" spans="1:20" ht="5.25" customHeight="1" x14ac:dyDescent="0.25">
      <c r="A142" s="121"/>
      <c r="B142" s="141"/>
      <c r="C142" s="163"/>
      <c r="D142" s="247"/>
      <c r="E142" s="208"/>
      <c r="F142" s="281"/>
      <c r="G142" s="281"/>
      <c r="H142" s="248"/>
      <c r="I142" s="237"/>
      <c r="J142" s="237"/>
      <c r="K142" s="237"/>
      <c r="L142" s="303"/>
      <c r="M142" s="141"/>
      <c r="N142" s="121"/>
      <c r="P142" s="246"/>
      <c r="Q142" s="282"/>
      <c r="R142" s="246"/>
      <c r="S142" s="246"/>
      <c r="T142" s="246"/>
    </row>
    <row r="143" spans="1:20" ht="18.75" x14ac:dyDescent="0.25">
      <c r="A143" s="121"/>
      <c r="B143" s="141"/>
      <c r="C143" s="163"/>
      <c r="D143" s="283"/>
      <c r="E143" s="284" t="s">
        <v>125</v>
      </c>
      <c r="F143" s="285" t="str">
        <f>Q143</f>
        <v/>
      </c>
      <c r="G143" s="286"/>
      <c r="H143" s="287"/>
      <c r="I143" s="237"/>
      <c r="J143" s="237"/>
      <c r="K143" s="237"/>
      <c r="L143" s="303"/>
      <c r="M143" s="141"/>
      <c r="N143" s="121"/>
      <c r="P143" s="234" t="str">
        <f t="shared" ref="P143" si="7">E143</f>
        <v>Totalkostnad</v>
      </c>
      <c r="Q143" s="268" t="str">
        <f>IF(Q132="NEI","",Q134*Q135+IF(Q124="Nei",Q139*Q140,0))</f>
        <v/>
      </c>
      <c r="R143" s="253"/>
      <c r="S143" s="253"/>
      <c r="T143" s="253"/>
    </row>
    <row r="144" spans="1:20" x14ac:dyDescent="0.25">
      <c r="A144" s="121"/>
      <c r="B144" s="141"/>
      <c r="C144" s="163"/>
      <c r="D144" s="256"/>
      <c r="E144" s="288"/>
      <c r="F144" s="288"/>
      <c r="G144" s="288"/>
      <c r="H144" s="289"/>
      <c r="I144" s="237"/>
      <c r="J144" s="237"/>
      <c r="K144" s="237"/>
      <c r="L144" s="303"/>
      <c r="M144" s="141"/>
      <c r="N144" s="121"/>
    </row>
    <row r="145" spans="1:23" ht="8.1" customHeight="1" x14ac:dyDescent="0.25">
      <c r="A145" s="121"/>
      <c r="B145" s="141"/>
      <c r="C145" s="163"/>
      <c r="D145" s="164"/>
      <c r="E145" s="236"/>
      <c r="F145" s="236"/>
      <c r="G145" s="236"/>
      <c r="H145" s="236"/>
      <c r="I145" s="237"/>
      <c r="J145" s="237"/>
      <c r="K145" s="237"/>
      <c r="L145" s="303"/>
      <c r="M145" s="141"/>
      <c r="N145" s="121"/>
    </row>
    <row r="146" spans="1:23" x14ac:dyDescent="0.25">
      <c r="A146" s="121"/>
      <c r="B146" s="141"/>
      <c r="C146" s="163"/>
      <c r="D146" s="241"/>
      <c r="E146" s="770" t="str">
        <f>IF(E147="","Skriv kommentar:","")</f>
        <v>Skriv kommentar:</v>
      </c>
      <c r="F146" s="770"/>
      <c r="G146" s="770"/>
      <c r="H146" s="290"/>
      <c r="I146" s="237"/>
      <c r="J146" s="237"/>
      <c r="K146" s="237"/>
      <c r="L146" s="303"/>
      <c r="M146" s="141"/>
      <c r="N146" s="121"/>
    </row>
    <row r="147" spans="1:23" x14ac:dyDescent="0.25">
      <c r="A147" s="121"/>
      <c r="B147" s="141"/>
      <c r="C147" s="163"/>
      <c r="D147" s="247"/>
      <c r="E147" s="768"/>
      <c r="F147" s="768"/>
      <c r="G147" s="768"/>
      <c r="H147" s="271"/>
      <c r="I147" s="237"/>
      <c r="J147" s="237"/>
      <c r="K147" s="237"/>
      <c r="L147" s="303"/>
      <c r="M147" s="141"/>
      <c r="N147" s="121"/>
      <c r="P147" s="315"/>
    </row>
    <row r="148" spans="1:23" x14ac:dyDescent="0.25">
      <c r="A148" s="121"/>
      <c r="B148" s="141"/>
      <c r="C148" s="163"/>
      <c r="D148" s="247"/>
      <c r="E148" s="768"/>
      <c r="F148" s="768"/>
      <c r="G148" s="768"/>
      <c r="H148" s="271"/>
      <c r="I148" s="237"/>
      <c r="J148" s="237"/>
      <c r="K148" s="237"/>
      <c r="L148" s="303"/>
      <c r="M148" s="141"/>
      <c r="N148" s="121"/>
    </row>
    <row r="149" spans="1:23" x14ac:dyDescent="0.25">
      <c r="A149" s="121"/>
      <c r="B149" s="141"/>
      <c r="C149" s="163"/>
      <c r="D149" s="247"/>
      <c r="E149" s="768"/>
      <c r="F149" s="768"/>
      <c r="G149" s="768"/>
      <c r="H149" s="271"/>
      <c r="I149" s="237"/>
      <c r="J149" s="237"/>
      <c r="K149" s="237"/>
      <c r="L149" s="303"/>
      <c r="M149" s="141"/>
      <c r="N149" s="121"/>
    </row>
    <row r="150" spans="1:23" x14ac:dyDescent="0.25">
      <c r="A150" s="121"/>
      <c r="B150" s="141"/>
      <c r="C150" s="163"/>
      <c r="D150" s="247"/>
      <c r="E150" s="768"/>
      <c r="F150" s="768"/>
      <c r="G150" s="768"/>
      <c r="H150" s="271"/>
      <c r="I150" s="237"/>
      <c r="J150" s="237"/>
      <c r="K150" s="237"/>
      <c r="L150" s="303"/>
      <c r="M150" s="141"/>
      <c r="N150" s="121"/>
    </row>
    <row r="151" spans="1:23" x14ac:dyDescent="0.25">
      <c r="A151" s="121"/>
      <c r="B151" s="141"/>
      <c r="C151" s="163"/>
      <c r="D151" s="256"/>
      <c r="E151" s="769"/>
      <c r="F151" s="769"/>
      <c r="G151" s="769"/>
      <c r="H151" s="289"/>
      <c r="I151" s="237"/>
      <c r="J151" s="237"/>
      <c r="K151" s="237"/>
      <c r="L151" s="303"/>
      <c r="M151" s="141"/>
      <c r="N151" s="121"/>
    </row>
    <row r="152" spans="1:23" ht="8.1" customHeight="1" x14ac:dyDescent="0.25">
      <c r="A152" s="121"/>
      <c r="B152" s="141"/>
      <c r="C152" s="304"/>
      <c r="D152" s="305"/>
      <c r="E152" s="306"/>
      <c r="F152" s="306"/>
      <c r="G152" s="306"/>
      <c r="H152" s="306"/>
      <c r="I152" s="307"/>
      <c r="J152" s="307"/>
      <c r="K152" s="307"/>
      <c r="L152" s="303"/>
      <c r="M152" s="141"/>
      <c r="N152" s="121"/>
    </row>
    <row r="153" spans="1:23" x14ac:dyDescent="0.25">
      <c r="A153" s="121"/>
      <c r="B153" s="141"/>
      <c r="C153" s="310"/>
      <c r="D153" s="711"/>
      <c r="E153" s="711"/>
      <c r="F153" s="711"/>
      <c r="G153" s="711"/>
      <c r="H153" s="711"/>
      <c r="I153" s="712"/>
      <c r="J153" s="712"/>
      <c r="K153" s="712"/>
      <c r="L153" s="303"/>
      <c r="M153" s="141"/>
      <c r="N153" s="121"/>
    </row>
    <row r="154" spans="1:23" x14ac:dyDescent="0.25">
      <c r="A154" s="121"/>
      <c r="B154" s="141"/>
      <c r="C154" s="163"/>
      <c r="D154" s="740" t="s">
        <v>287</v>
      </c>
      <c r="E154" s="741"/>
      <c r="F154" s="741"/>
      <c r="G154" s="741"/>
      <c r="H154" s="741"/>
      <c r="I154" s="714" t="s">
        <v>288</v>
      </c>
      <c r="J154" s="617" t="s">
        <v>289</v>
      </c>
      <c r="K154" s="618"/>
      <c r="L154" s="303"/>
      <c r="M154" s="141"/>
      <c r="N154" s="121"/>
    </row>
    <row r="155" spans="1:23" ht="38.25" customHeight="1" x14ac:dyDescent="0.25">
      <c r="A155" s="121"/>
      <c r="B155" s="141"/>
      <c r="C155" s="163"/>
      <c r="D155" s="619"/>
      <c r="E155" s="742"/>
      <c r="F155" s="742"/>
      <c r="G155" s="742"/>
      <c r="H155" s="743"/>
      <c r="I155" s="716"/>
      <c r="J155" s="717"/>
      <c r="K155" s="700"/>
      <c r="L155" s="303"/>
      <c r="M155" s="141"/>
      <c r="N155" s="121"/>
    </row>
    <row r="156" spans="1:23" x14ac:dyDescent="0.25">
      <c r="A156" s="121"/>
      <c r="B156" s="141"/>
      <c r="C156" s="304"/>
      <c r="D156" s="703"/>
      <c r="E156" s="704"/>
      <c r="F156" s="704"/>
      <c r="G156" s="704"/>
      <c r="H156" s="703"/>
      <c r="I156" s="705"/>
      <c r="J156" s="705"/>
      <c r="K156" s="705"/>
      <c r="L156" s="308"/>
      <c r="M156" s="141"/>
      <c r="N156" s="121"/>
    </row>
    <row r="157" spans="1:23" ht="15" customHeight="1" x14ac:dyDescent="0.25">
      <c r="A157" s="121"/>
      <c r="B157" s="141"/>
      <c r="C157" s="141"/>
      <c r="D157" s="141"/>
      <c r="E157" s="141"/>
      <c r="F157" s="141"/>
      <c r="G157" s="141"/>
      <c r="H157" s="141"/>
      <c r="I157" s="613"/>
      <c r="J157" s="613"/>
      <c r="K157" s="613"/>
      <c r="L157" s="141"/>
      <c r="M157" s="141"/>
      <c r="N157" s="124"/>
      <c r="Q157" s="127"/>
      <c r="S157" s="556"/>
      <c r="U157" s="210"/>
      <c r="V157" s="210"/>
      <c r="W157" s="210"/>
    </row>
    <row r="158" spans="1:23" ht="6" customHeight="1" x14ac:dyDescent="0.25">
      <c r="A158" s="121"/>
      <c r="B158" s="124"/>
      <c r="C158" s="124"/>
      <c r="D158" s="124"/>
      <c r="E158" s="124"/>
      <c r="F158" s="124"/>
      <c r="G158" s="124"/>
      <c r="H158" s="124"/>
      <c r="I158" s="124"/>
      <c r="J158" s="124"/>
      <c r="K158" s="124"/>
      <c r="L158" s="124"/>
      <c r="M158" s="124"/>
      <c r="N158" s="121"/>
      <c r="Q158" s="127"/>
      <c r="U158" s="210"/>
      <c r="V158" s="210"/>
      <c r="W158" s="210"/>
    </row>
  </sheetData>
  <sheetProtection algorithmName="SHA-512" hashValue="2Ec4PeBIrCvlzdgBXwpexQnMKz0G3dOu79ZFkv840oN4PVUFl9Nrr2Ff0jyPE266gOwL0LYjQrg33Nexue79qw==" saltValue="7Yg5UEDDEVb28EHIHVvO8A==" spinCount="100000" sheet="1" objects="1" scenarios="1"/>
  <mergeCells count="17">
    <mergeCell ref="E147:G151"/>
    <mergeCell ref="E155:H155"/>
    <mergeCell ref="I7:L8"/>
    <mergeCell ref="D7:F8"/>
    <mergeCell ref="E94:E95"/>
    <mergeCell ref="E17:E18"/>
    <mergeCell ref="E38:G42"/>
    <mergeCell ref="E37:G37"/>
    <mergeCell ref="E53:E54"/>
    <mergeCell ref="E73:G73"/>
    <mergeCell ref="E74:G78"/>
    <mergeCell ref="E114:G114"/>
    <mergeCell ref="E115:G119"/>
    <mergeCell ref="D81:H81"/>
    <mergeCell ref="E82:H82"/>
    <mergeCell ref="D154:H154"/>
    <mergeCell ref="E146:G146"/>
  </mergeCells>
  <conditionalFormatting sqref="F1:F4">
    <cfRule type="expression" dxfId="55" priority="9">
      <formula>F1=0</formula>
    </cfRule>
  </conditionalFormatting>
  <conditionalFormatting sqref="F6">
    <cfRule type="expression" dxfId="54" priority="8">
      <formula>F6=0</formula>
    </cfRule>
  </conditionalFormatting>
  <conditionalFormatting sqref="F65:F67">
    <cfRule type="expression" dxfId="53" priority="3">
      <formula>F65=""</formula>
    </cfRule>
  </conditionalFormatting>
  <conditionalFormatting sqref="F83">
    <cfRule type="expression" dxfId="52" priority="2">
      <formula>F83=0</formula>
    </cfRule>
  </conditionalFormatting>
  <conditionalFormatting sqref="F106:F108">
    <cfRule type="expression" dxfId="51" priority="32">
      <formula>F106=""</formula>
    </cfRule>
  </conditionalFormatting>
  <conditionalFormatting sqref="F156">
    <cfRule type="expression" dxfId="50" priority="1">
      <formula>F156=0</formula>
    </cfRule>
  </conditionalFormatting>
  <conditionalFormatting sqref="F29:G31">
    <cfRule type="expression" dxfId="49" priority="42">
      <formula>F29=""</formula>
    </cfRule>
  </conditionalFormatting>
  <conditionalFormatting sqref="F138:G140">
    <cfRule type="expression" dxfId="48" priority="23">
      <formula>F138=""</formula>
    </cfRule>
  </conditionalFormatting>
  <conditionalFormatting sqref="I1:I4">
    <cfRule type="expression" dxfId="47" priority="200">
      <formula>I1=$R$7</formula>
    </cfRule>
    <cfRule type="expression" dxfId="46" priority="201">
      <formula>LEFT(I1,14)=$R$6</formula>
    </cfRule>
    <cfRule type="expression" dxfId="45" priority="202">
      <formula>I1="*utregnes automatisk"</formula>
    </cfRule>
  </conditionalFormatting>
  <conditionalFormatting sqref="I7">
    <cfRule type="expression" dxfId="44" priority="203">
      <formula>I7=$S$8</formula>
    </cfRule>
    <cfRule type="expression" dxfId="43" priority="204">
      <formula>LEFT(I7,14)=$R$8</formula>
    </cfRule>
    <cfRule type="expression" dxfId="42" priority="205">
      <formula>I7="*utregnes automatisk"</formula>
    </cfRule>
  </conditionalFormatting>
  <dataValidations xWindow="670" yWindow="606" count="10">
    <dataValidation allowBlank="1" showInputMessage="1" showErrorMessage="1" promptTitle="Utskrivningsdato" prompt="(dd.mm.åååå)_x000a__x000a_Oppgi xx" sqref="G21:G22 G98:G99 G130:G131 G57:G58" xr:uid="{43ED6B05-E99F-47E2-9E4B-9C9BD890C931}"/>
    <dataValidation type="date" operator="greaterThanOrEqual" allowBlank="1" showInputMessage="1" showErrorMessage="1" error="Oppgi en dato etter 31. desember 2021" sqref="F19 F96 F128 F55" xr:uid="{DC898D55-EE8E-488B-A44C-F0EA0226651D}">
      <formula1>44562</formula1>
    </dataValidation>
    <dataValidation allowBlank="1" showInputMessage="1" showErrorMessage="1" promptTitle="fra: " prompt="Oppgi dato for når oppholdet på institusjonen startet, innenfor den tilskuddsperioden dere søker om" sqref="G19" xr:uid="{C2569231-C8A3-42B2-9990-4A93211F2699}"/>
    <dataValidation allowBlank="1" showInputMessage="1" showErrorMessage="1" promptTitle="til:" prompt="Oppgi dato for når oppholdet på institusjonen sluttet, innenfor den tilskuddsperioden dere søker om" sqref="G20" xr:uid="{4FF0B4B8-D90D-498D-8BBD-6F78C7855101}"/>
    <dataValidation allowBlank="1" showInputMessage="1" showErrorMessage="1" promptTitle="Plasseringsdato" prompt="Velg riktig periode fra listen. Dato finner dere i flyktningens vedtak om plassering" sqref="G93:G95 G52:G54" xr:uid="{C9BEC224-7362-44F7-A250-3303E9CDAF62}"/>
    <dataValidation allowBlank="1" showInputMessage="1" showErrorMessage="1" promptTitle="fra:" prompt="Oppgi dato for når oppholdet i beredskapshjemmet/ fosterhjemmet startet, innenfor den tilskuddsperioden dere søker om" sqref="G96 G55" xr:uid="{6F63505B-1296-4588-AFE6-89872061CFCA}"/>
    <dataValidation allowBlank="1" showInputMessage="1" showErrorMessage="1" promptTitle="til:" prompt="Oppgi dato for når oppholdet i beredskapshjemmet/ fosterhjemmet sluttet, innenfor den tilskuddsperioden dere søker om" sqref="G97 G56" xr:uid="{C43E3BB5-8A19-4D43-9799-5637CECFC999}"/>
    <dataValidation allowBlank="1" showInputMessage="1" showErrorMessage="1" promptTitle="Tiltaksstart" prompt="Oppgi datoen flyktningen starter å få oppfølging fra MST/ FFT, innenfor tilskuddsperioden dere søker om" sqref="G128" xr:uid="{8DC93E6F-AF4D-4D40-B594-916846E7A84E}"/>
    <dataValidation allowBlank="1" showInputMessage="1" showErrorMessage="1" promptTitle="Tiltaksslutt" prompt="Oppgi datoen flyktningen slutter å få oppfølging fra MST/ FFT, innenfor tilskuddsperioden dere søker om" sqref="G129" xr:uid="{AE30824D-661C-4382-A268-C2956B86D9AA}"/>
    <dataValidation allowBlank="1" showInputMessage="1" showErrorMessage="1" promptTitle="Plasseringsdato" prompt="Datoen finner dere i flyktningens vedtak om plassering. Velg riktig periode fra listen. " sqref="G92 G51" xr:uid="{F69C682A-2DEF-4EE6-82FD-443877457F75}"/>
  </dataValidations>
  <pageMargins left="0.70866141732283472" right="0.70866141732283472" top="0.74803149606299213" bottom="0.74803149606299213" header="0.31496062992125984" footer="0.31496062992125984"/>
  <pageSetup paperSize="9" scale="57" orientation="portrait" r:id="rId1"/>
  <extLst>
    <ext xmlns:x14="http://schemas.microsoft.com/office/spreadsheetml/2009/9/main" uri="{CCE6A557-97BC-4b89-ADB6-D9C93CAAB3DF}">
      <x14:dataValidations xmlns:xm="http://schemas.microsoft.com/office/excel/2006/main" xWindow="670" yWindow="606" count="2">
        <x14:dataValidation type="list" allowBlank="1" showInputMessage="1" showErrorMessage="1" xr:uid="{91E7311D-244C-49B0-BC60-D780FF073DA7}">
          <x14:formula1>
            <xm:f>Innstillinger!$E$20:$E$22</xm:f>
          </x14:formula1>
          <xm:sqref>F92</xm:sqref>
        </x14:dataValidation>
        <x14:dataValidation type="list" allowBlank="1" showInputMessage="1" showErrorMessage="1" xr:uid="{921A1FB0-799D-4AF4-AAB9-20D75D99F02C}">
          <x14:formula1>
            <xm:f>Innstillinger!$E$14:$E$16</xm:f>
          </x14:formula1>
          <xm:sqref>F51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B8664-CF5E-4A83-94FD-5613E57143C5}">
  <sheetPr>
    <tabColor rgb="FFF2EFED"/>
    <pageSetUpPr autoPageBreaks="0" fitToPage="1"/>
  </sheetPr>
  <dimension ref="A1:U69"/>
  <sheetViews>
    <sheetView showGridLines="0" zoomScale="110" zoomScaleNormal="110" workbookViewId="0">
      <pane ySplit="4" topLeftCell="A5" activePane="bottomLeft" state="frozen"/>
      <selection activeCell="E21" sqref="E21"/>
      <selection pane="bottomLeft"/>
    </sheetView>
  </sheetViews>
  <sheetFormatPr baseColWidth="10" defaultColWidth="0" defaultRowHeight="15" zeroHeight="1" x14ac:dyDescent="0.25"/>
  <cols>
    <col min="1" max="1" width="1.42578125" style="127" customWidth="1"/>
    <col min="2" max="3" width="4.28515625" style="127" customWidth="1"/>
    <col min="4" max="4" width="1.28515625" style="127" customWidth="1"/>
    <col min="5" max="6" width="14.42578125" style="127" customWidth="1"/>
    <col min="7" max="7" width="29.5703125" style="127" customWidth="1"/>
    <col min="8" max="8" width="13.140625" style="127" customWidth="1"/>
    <col min="9" max="9" width="14.7109375" style="127" customWidth="1"/>
    <col min="10" max="10" width="19.85546875" style="127" customWidth="1"/>
    <col min="11" max="11" width="1.28515625" style="127" customWidth="1"/>
    <col min="12" max="12" width="6.140625" style="127" customWidth="1"/>
    <col min="13" max="13" width="4.28515625" style="127" customWidth="1"/>
    <col min="14" max="14" width="1.42578125" style="127" customWidth="1"/>
    <col min="15" max="21" width="0" style="127" hidden="1" customWidth="1"/>
    <col min="22" max="16384" width="11.42578125" style="127" hidden="1"/>
  </cols>
  <sheetData>
    <row r="1" spans="1:14" s="121" customFormat="1" ht="8.1" customHeight="1" x14ac:dyDescent="0.25">
      <c r="F1" s="122"/>
      <c r="G1" s="123"/>
      <c r="H1" s="124"/>
      <c r="I1" s="125"/>
      <c r="J1" s="126"/>
    </row>
    <row r="2" spans="1:14" s="128" customFormat="1" ht="31.5" x14ac:dyDescent="0.5">
      <c r="C2" s="129">
        <v>5</v>
      </c>
      <c r="D2" s="130"/>
      <c r="E2" s="131" t="s">
        <v>195</v>
      </c>
      <c r="F2" s="132"/>
      <c r="G2" s="123"/>
      <c r="H2" s="133"/>
      <c r="I2" s="134"/>
      <c r="K2" s="130"/>
      <c r="L2" s="130"/>
    </row>
    <row r="3" spans="1:14" s="135" customFormat="1" ht="14.25" x14ac:dyDescent="0.25">
      <c r="D3" s="136"/>
      <c r="E3" s="137" t="str">
        <f>"- som lønn til privat psykolog og fysioterapeut, privat tolk og transport"</f>
        <v>- som lønn til privat psykolog og fysioterapeut, privat tolk og transport</v>
      </c>
      <c r="F3" s="138"/>
      <c r="H3" s="139"/>
      <c r="I3" s="140"/>
      <c r="K3" s="136"/>
      <c r="L3" s="136"/>
    </row>
    <row r="4" spans="1:14" s="121" customFormat="1" ht="8.1" customHeight="1" x14ac:dyDescent="0.25">
      <c r="F4" s="122"/>
      <c r="G4" s="123"/>
      <c r="H4" s="124"/>
      <c r="I4" s="125"/>
    </row>
    <row r="5" spans="1:14" ht="15" customHeight="1" x14ac:dyDescent="0.25">
      <c r="A5" s="121"/>
      <c r="B5" s="141"/>
      <c r="C5" s="141"/>
      <c r="D5" s="141"/>
      <c r="E5" s="141"/>
      <c r="F5" s="141"/>
      <c r="G5" s="141"/>
      <c r="H5" s="141"/>
      <c r="I5" s="141"/>
      <c r="J5" s="141"/>
      <c r="K5" s="141"/>
      <c r="L5" s="141"/>
      <c r="M5" s="141"/>
      <c r="N5" s="121"/>
    </row>
    <row r="6" spans="1:14" ht="24" x14ac:dyDescent="0.4">
      <c r="A6" s="121"/>
      <c r="B6" s="141"/>
      <c r="C6" s="142"/>
      <c r="D6" s="142"/>
      <c r="E6" s="143" t="s">
        <v>69</v>
      </c>
      <c r="F6" s="143"/>
      <c r="G6" s="143"/>
      <c r="H6" s="199" t="s">
        <v>70</v>
      </c>
      <c r="I6" s="199"/>
      <c r="J6" s="200"/>
      <c r="K6" s="149"/>
      <c r="L6" s="149"/>
      <c r="M6" s="141"/>
      <c r="N6" s="121"/>
    </row>
    <row r="7" spans="1:14" ht="22.5" customHeight="1" x14ac:dyDescent="0.25">
      <c r="A7" s="121"/>
      <c r="B7" s="141"/>
      <c r="C7" s="150"/>
      <c r="D7" s="150"/>
      <c r="E7" s="757" t="s">
        <v>196</v>
      </c>
      <c r="F7" s="757"/>
      <c r="G7" s="757"/>
      <c r="H7" s="778" t="s">
        <v>197</v>
      </c>
      <c r="I7" s="778"/>
      <c r="J7" s="778"/>
      <c r="K7" s="202"/>
      <c r="L7" s="202"/>
      <c r="M7" s="141"/>
      <c r="N7" s="121"/>
    </row>
    <row r="8" spans="1:14" ht="22.5" customHeight="1" x14ac:dyDescent="0.25">
      <c r="A8" s="121"/>
      <c r="B8" s="141"/>
      <c r="C8" s="150"/>
      <c r="D8" s="150"/>
      <c r="E8" s="757"/>
      <c r="F8" s="757"/>
      <c r="G8" s="757"/>
      <c r="H8" s="778"/>
      <c r="I8" s="778"/>
      <c r="J8" s="778"/>
      <c r="K8" s="563"/>
      <c r="L8" s="563"/>
      <c r="M8" s="141"/>
      <c r="N8" s="121"/>
    </row>
    <row r="9" spans="1:14" ht="22.5" customHeight="1" x14ac:dyDescent="0.25">
      <c r="A9" s="121"/>
      <c r="B9" s="141"/>
      <c r="C9" s="150"/>
      <c r="D9" s="203"/>
      <c r="E9" s="757"/>
      <c r="F9" s="757"/>
      <c r="G9" s="757"/>
      <c r="H9" s="778"/>
      <c r="I9" s="778"/>
      <c r="J9" s="778"/>
      <c r="K9" s="202"/>
      <c r="L9" s="202"/>
      <c r="M9" s="141"/>
      <c r="N9" s="121"/>
    </row>
    <row r="10" spans="1:14" ht="22.5" customHeight="1" x14ac:dyDescent="0.25">
      <c r="A10" s="121"/>
      <c r="B10" s="141"/>
      <c r="C10" s="150"/>
      <c r="D10" s="203"/>
      <c r="E10" s="757"/>
      <c r="F10" s="757"/>
      <c r="G10" s="757"/>
      <c r="H10" s="778"/>
      <c r="I10" s="778"/>
      <c r="J10" s="778"/>
      <c r="K10" s="204"/>
      <c r="L10" s="204"/>
      <c r="M10" s="141"/>
      <c r="N10" s="121"/>
    </row>
    <row r="11" spans="1:14" ht="22.5" customHeight="1" x14ac:dyDescent="0.25">
      <c r="A11" s="121"/>
      <c r="B11" s="141"/>
      <c r="C11" s="150"/>
      <c r="D11" s="203"/>
      <c r="E11" s="757"/>
      <c r="F11" s="757"/>
      <c r="G11" s="757"/>
      <c r="H11" s="778"/>
      <c r="I11" s="778"/>
      <c r="J11" s="778"/>
      <c r="K11" s="204"/>
      <c r="L11" s="204"/>
      <c r="M11" s="141"/>
      <c r="N11" s="121"/>
    </row>
    <row r="12" spans="1:14" ht="22.5" customHeight="1" x14ac:dyDescent="0.25">
      <c r="A12" s="121"/>
      <c r="B12" s="141"/>
      <c r="C12" s="150"/>
      <c r="D12" s="203"/>
      <c r="E12" s="757"/>
      <c r="F12" s="757"/>
      <c r="G12" s="757"/>
      <c r="H12" s="778"/>
      <c r="I12" s="778"/>
      <c r="J12" s="778"/>
      <c r="K12" s="204"/>
      <c r="L12" s="204"/>
      <c r="M12" s="141"/>
      <c r="N12" s="121"/>
    </row>
    <row r="13" spans="1:14" ht="22.5" customHeight="1" x14ac:dyDescent="0.25">
      <c r="A13" s="121"/>
      <c r="B13" s="141"/>
      <c r="C13" s="150"/>
      <c r="D13" s="203"/>
      <c r="E13" s="757"/>
      <c r="F13" s="757"/>
      <c r="G13" s="757"/>
      <c r="H13" s="778"/>
      <c r="I13" s="778"/>
      <c r="J13" s="778"/>
      <c r="K13" s="204"/>
      <c r="L13" s="204"/>
      <c r="M13" s="141"/>
      <c r="N13" s="121"/>
    </row>
    <row r="14" spans="1:14" ht="22.5" customHeight="1" x14ac:dyDescent="0.25">
      <c r="A14" s="121"/>
      <c r="B14" s="141"/>
      <c r="C14" s="153"/>
      <c r="D14" s="153"/>
      <c r="E14" s="757"/>
      <c r="F14" s="757"/>
      <c r="G14" s="757"/>
      <c r="H14" s="778"/>
      <c r="I14" s="778"/>
      <c r="J14" s="778"/>
      <c r="K14" s="155"/>
      <c r="L14" s="155"/>
      <c r="M14" s="141"/>
      <c r="N14" s="121"/>
    </row>
    <row r="15" spans="1:14" ht="15" customHeight="1" x14ac:dyDescent="0.25">
      <c r="A15" s="121"/>
      <c r="B15" s="141"/>
      <c r="C15" s="153"/>
      <c r="D15" s="153"/>
      <c r="E15" s="205"/>
      <c r="F15" s="205"/>
      <c r="G15" s="205"/>
      <c r="H15" s="155"/>
      <c r="I15" s="206"/>
      <c r="J15" s="206"/>
      <c r="K15" s="155"/>
      <c r="L15" s="155"/>
      <c r="M15" s="141"/>
      <c r="N15" s="121"/>
    </row>
    <row r="16" spans="1:14" ht="51" customHeight="1" x14ac:dyDescent="0.25">
      <c r="A16" s="121"/>
      <c r="B16" s="141"/>
      <c r="C16" s="156"/>
      <c r="D16" s="156"/>
      <c r="E16" s="156"/>
      <c r="F16" s="156"/>
      <c r="G16" s="156"/>
      <c r="H16" s="156"/>
      <c r="I16" s="156"/>
      <c r="J16" s="156"/>
      <c r="K16" s="156"/>
      <c r="L16" s="156"/>
      <c r="M16" s="141"/>
      <c r="N16" s="121"/>
    </row>
    <row r="17" spans="1:15" ht="6" customHeight="1" x14ac:dyDescent="0.25">
      <c r="A17" s="121"/>
      <c r="B17" s="121"/>
      <c r="C17" s="121"/>
      <c r="D17" s="121"/>
      <c r="E17" s="121"/>
      <c r="F17" s="121"/>
      <c r="G17" s="121"/>
      <c r="H17" s="121"/>
      <c r="I17" s="121"/>
      <c r="J17" s="121"/>
      <c r="K17" s="121"/>
      <c r="L17" s="121"/>
      <c r="M17" s="121"/>
      <c r="N17" s="121"/>
    </row>
    <row r="18" spans="1:15" ht="15" customHeight="1" x14ac:dyDescent="0.25">
      <c r="A18" s="121"/>
      <c r="B18" s="141"/>
      <c r="C18" s="156"/>
      <c r="D18" s="156"/>
      <c r="E18" s="156"/>
      <c r="F18" s="156"/>
      <c r="G18" s="156"/>
      <c r="H18" s="156"/>
      <c r="I18" s="156"/>
      <c r="J18" s="156"/>
      <c r="K18" s="156"/>
      <c r="L18" s="156"/>
      <c r="M18" s="141"/>
      <c r="N18" s="121"/>
    </row>
    <row r="19" spans="1:15" x14ac:dyDescent="0.25">
      <c r="A19" s="121"/>
      <c r="B19" s="141"/>
      <c r="C19" s="292"/>
      <c r="D19" s="293"/>
      <c r="E19" s="689"/>
      <c r="F19" s="689"/>
      <c r="G19" s="689"/>
      <c r="H19" s="689"/>
      <c r="I19" s="689"/>
      <c r="J19" s="689"/>
      <c r="K19" s="293"/>
      <c r="L19" s="162"/>
      <c r="M19" s="141"/>
      <c r="N19" s="121"/>
    </row>
    <row r="20" spans="1:15" ht="24" x14ac:dyDescent="0.4">
      <c r="A20" s="121"/>
      <c r="B20" s="141"/>
      <c r="C20" s="163"/>
      <c r="D20" s="164"/>
      <c r="E20" s="165" t="s">
        <v>63</v>
      </c>
      <c r="F20" s="165"/>
      <c r="G20" s="208"/>
      <c r="L20" s="166"/>
      <c r="M20" s="141"/>
      <c r="N20" s="121"/>
      <c r="O20" s="209"/>
    </row>
    <row r="21" spans="1:15" ht="8.1" customHeight="1" x14ac:dyDescent="0.25">
      <c r="A21" s="121"/>
      <c r="B21" s="141"/>
      <c r="C21" s="163"/>
      <c r="D21" s="164"/>
      <c r="E21" s="690"/>
      <c r="F21" s="690"/>
      <c r="G21" s="208"/>
      <c r="L21" s="166"/>
      <c r="M21" s="141"/>
      <c r="N21" s="121"/>
      <c r="O21" s="209"/>
    </row>
    <row r="22" spans="1:15" ht="27" x14ac:dyDescent="0.25">
      <c r="A22" s="121"/>
      <c r="B22" s="141"/>
      <c r="C22" s="163"/>
      <c r="D22" s="164"/>
      <c r="E22" s="691" t="s">
        <v>198</v>
      </c>
      <c r="F22" s="691" t="s">
        <v>199</v>
      </c>
      <c r="G22" s="692" t="s">
        <v>200</v>
      </c>
      <c r="H22" s="693" t="s">
        <v>201</v>
      </c>
      <c r="I22" s="693" t="s">
        <v>202</v>
      </c>
      <c r="J22" s="694" t="s">
        <v>203</v>
      </c>
      <c r="L22" s="166"/>
      <c r="M22" s="141"/>
      <c r="N22" s="121"/>
      <c r="O22" s="209"/>
    </row>
    <row r="23" spans="1:15" ht="22.5" customHeight="1" thickBot="1" x14ac:dyDescent="0.3">
      <c r="A23" s="121"/>
      <c r="B23" s="141"/>
      <c r="C23" s="163">
        <v>1</v>
      </c>
      <c r="D23" s="164"/>
      <c r="E23" s="85"/>
      <c r="F23" s="85"/>
      <c r="G23" s="86"/>
      <c r="H23" s="109"/>
      <c r="I23" s="52"/>
      <c r="J23" s="173">
        <f>ROUNDUP((H23*I23),0)</f>
        <v>0</v>
      </c>
      <c r="L23" s="166"/>
      <c r="M23" s="141"/>
      <c r="N23" s="121"/>
      <c r="O23" s="209"/>
    </row>
    <row r="24" spans="1:15" ht="22.5" customHeight="1" thickTop="1" thickBot="1" x14ac:dyDescent="0.3">
      <c r="A24" s="121"/>
      <c r="B24" s="141"/>
      <c r="C24" s="163">
        <v>2</v>
      </c>
      <c r="D24" s="164"/>
      <c r="E24" s="85"/>
      <c r="F24" s="85"/>
      <c r="G24" s="86"/>
      <c r="H24" s="109"/>
      <c r="I24" s="52"/>
      <c r="J24" s="173">
        <f>ROUNDUP((H24*I24),0)</f>
        <v>0</v>
      </c>
      <c r="L24" s="166"/>
      <c r="M24" s="141"/>
      <c r="N24" s="121"/>
      <c r="O24" s="209"/>
    </row>
    <row r="25" spans="1:15" ht="22.5" customHeight="1" thickTop="1" thickBot="1" x14ac:dyDescent="0.3">
      <c r="A25" s="121"/>
      <c r="B25" s="141"/>
      <c r="C25" s="163">
        <v>3</v>
      </c>
      <c r="D25" s="164"/>
      <c r="E25" s="85"/>
      <c r="F25" s="85"/>
      <c r="G25" s="86"/>
      <c r="H25" s="109"/>
      <c r="I25" s="52"/>
      <c r="J25" s="173">
        <f t="shared" ref="J25:J26" si="0">ROUNDUP((H25*I25),0)</f>
        <v>0</v>
      </c>
      <c r="L25" s="166"/>
      <c r="M25" s="141"/>
      <c r="N25" s="121"/>
      <c r="O25" s="209"/>
    </row>
    <row r="26" spans="1:15" ht="22.5" customHeight="1" thickTop="1" thickBot="1" x14ac:dyDescent="0.3">
      <c r="A26" s="121"/>
      <c r="B26" s="141"/>
      <c r="C26" s="163">
        <v>4</v>
      </c>
      <c r="D26" s="164"/>
      <c r="E26" s="85"/>
      <c r="F26" s="85"/>
      <c r="G26" s="86"/>
      <c r="H26" s="109"/>
      <c r="I26" s="52"/>
      <c r="J26" s="173">
        <f t="shared" si="0"/>
        <v>0</v>
      </c>
      <c r="L26" s="166"/>
      <c r="M26" s="141"/>
      <c r="N26" s="121"/>
      <c r="O26" s="209"/>
    </row>
    <row r="27" spans="1:15" ht="22.5" customHeight="1" thickTop="1" thickBot="1" x14ac:dyDescent="0.3">
      <c r="A27" s="121"/>
      <c r="B27" s="141"/>
      <c r="C27" s="163">
        <v>5</v>
      </c>
      <c r="D27" s="164"/>
      <c r="E27" s="85"/>
      <c r="F27" s="85"/>
      <c r="G27" s="86"/>
      <c r="H27" s="109"/>
      <c r="I27" s="52"/>
      <c r="J27" s="173">
        <f>ROUNDUP((H27*I27),0)</f>
        <v>0</v>
      </c>
      <c r="L27" s="166"/>
      <c r="M27" s="141"/>
      <c r="N27" s="121"/>
      <c r="O27" s="209"/>
    </row>
    <row r="28" spans="1:15" ht="15.75" thickTop="1" x14ac:dyDescent="0.25">
      <c r="A28" s="121"/>
      <c r="B28" s="158"/>
      <c r="C28" s="181"/>
      <c r="D28" s="167"/>
      <c r="E28" s="695"/>
      <c r="F28" s="695"/>
      <c r="G28" s="695"/>
      <c r="H28" s="695"/>
      <c r="I28" s="695"/>
      <c r="J28" s="695"/>
      <c r="L28" s="166"/>
      <c r="M28" s="141"/>
      <c r="N28" s="121"/>
    </row>
    <row r="29" spans="1:15" ht="18.75" x14ac:dyDescent="0.25">
      <c r="A29" s="121"/>
      <c r="B29" s="158"/>
      <c r="C29" s="181"/>
      <c r="D29" s="167"/>
      <c r="E29" s="675"/>
      <c r="F29" s="675"/>
      <c r="G29" s="675"/>
      <c r="H29" s="167"/>
      <c r="I29" s="167"/>
      <c r="J29" s="672">
        <f>SUM(J23:J27)</f>
        <v>0</v>
      </c>
      <c r="L29" s="166"/>
      <c r="M29" s="141"/>
      <c r="N29" s="121"/>
    </row>
    <row r="30" spans="1:15" ht="15.75" customHeight="1" x14ac:dyDescent="0.25">
      <c r="A30" s="121"/>
      <c r="B30" s="158"/>
      <c r="C30" s="181"/>
      <c r="D30" s="167"/>
      <c r="E30" s="208"/>
      <c r="F30" s="208"/>
      <c r="G30" s="208"/>
      <c r="H30" s="167"/>
      <c r="I30" s="167"/>
      <c r="L30" s="166"/>
      <c r="M30" s="141"/>
      <c r="N30" s="121"/>
    </row>
    <row r="31" spans="1:15" ht="15.75" customHeight="1" x14ac:dyDescent="0.25">
      <c r="A31" s="121"/>
      <c r="B31" s="158"/>
      <c r="C31" s="181"/>
      <c r="D31" s="187"/>
      <c r="E31" s="777" t="str">
        <f>IF(E32="","Skriv kommentar:","")</f>
        <v>Skriv kommentar:</v>
      </c>
      <c r="F31" s="777"/>
      <c r="G31" s="777"/>
      <c r="H31" s="777"/>
      <c r="I31" s="777"/>
      <c r="J31" s="777"/>
      <c r="K31" s="244"/>
      <c r="L31" s="166"/>
      <c r="M31" s="141"/>
      <c r="N31" s="121"/>
    </row>
    <row r="32" spans="1:15" ht="15.75" customHeight="1" x14ac:dyDescent="0.25">
      <c r="A32" s="121"/>
      <c r="B32" s="158"/>
      <c r="C32" s="181"/>
      <c r="D32" s="188"/>
      <c r="E32" s="753"/>
      <c r="F32" s="779"/>
      <c r="G32" s="779"/>
      <c r="H32" s="779"/>
      <c r="I32" s="779"/>
      <c r="J32" s="779"/>
      <c r="K32" s="248"/>
      <c r="L32" s="166"/>
      <c r="M32" s="141"/>
      <c r="N32" s="121"/>
    </row>
    <row r="33" spans="1:15" ht="15.75" customHeight="1" x14ac:dyDescent="0.25">
      <c r="A33" s="121"/>
      <c r="B33" s="158"/>
      <c r="C33" s="181"/>
      <c r="D33" s="188"/>
      <c r="E33" s="779"/>
      <c r="F33" s="779"/>
      <c r="G33" s="779"/>
      <c r="H33" s="779"/>
      <c r="I33" s="779"/>
      <c r="J33" s="779"/>
      <c r="K33" s="248"/>
      <c r="L33" s="166"/>
      <c r="M33" s="141"/>
      <c r="N33" s="121"/>
    </row>
    <row r="34" spans="1:15" ht="15.75" customHeight="1" x14ac:dyDescent="0.25">
      <c r="A34" s="121"/>
      <c r="B34" s="158"/>
      <c r="C34" s="181"/>
      <c r="D34" s="188"/>
      <c r="E34" s="779"/>
      <c r="F34" s="779"/>
      <c r="G34" s="779"/>
      <c r="H34" s="779"/>
      <c r="I34" s="779"/>
      <c r="J34" s="779"/>
      <c r="K34" s="248"/>
      <c r="L34" s="166"/>
      <c r="M34" s="141"/>
      <c r="N34" s="121"/>
    </row>
    <row r="35" spans="1:15" x14ac:dyDescent="0.25">
      <c r="A35" s="121"/>
      <c r="B35" s="141"/>
      <c r="C35" s="189"/>
      <c r="D35" s="188"/>
      <c r="E35" s="779"/>
      <c r="F35" s="779"/>
      <c r="G35" s="779"/>
      <c r="H35" s="779"/>
      <c r="I35" s="779"/>
      <c r="J35" s="779"/>
      <c r="K35" s="526"/>
      <c r="L35" s="192"/>
      <c r="M35" s="141"/>
      <c r="N35" s="121"/>
    </row>
    <row r="36" spans="1:15" x14ac:dyDescent="0.25">
      <c r="A36" s="121"/>
      <c r="B36" s="141"/>
      <c r="C36" s="189"/>
      <c r="D36" s="190"/>
      <c r="E36" s="779"/>
      <c r="F36" s="779"/>
      <c r="G36" s="779"/>
      <c r="H36" s="779"/>
      <c r="I36" s="779"/>
      <c r="J36" s="779"/>
      <c r="K36" s="526"/>
      <c r="L36" s="192"/>
      <c r="M36" s="141"/>
      <c r="N36" s="121"/>
    </row>
    <row r="37" spans="1:15" x14ac:dyDescent="0.25">
      <c r="A37" s="121"/>
      <c r="B37" s="141"/>
      <c r="C37" s="189"/>
      <c r="D37" s="191"/>
      <c r="E37" s="780"/>
      <c r="F37" s="780"/>
      <c r="G37" s="780"/>
      <c r="H37" s="780"/>
      <c r="I37" s="780"/>
      <c r="J37" s="780"/>
      <c r="K37" s="527"/>
      <c r="L37" s="166"/>
      <c r="M37" s="141"/>
      <c r="N37" s="121"/>
    </row>
    <row r="38" spans="1:15" x14ac:dyDescent="0.25">
      <c r="A38" s="121"/>
      <c r="B38" s="141"/>
      <c r="C38" s="193"/>
      <c r="D38" s="194"/>
      <c r="E38" s="696"/>
      <c r="F38" s="696"/>
      <c r="G38" s="696"/>
      <c r="H38" s="696"/>
      <c r="I38" s="696"/>
      <c r="J38" s="696"/>
      <c r="K38" s="194"/>
      <c r="L38" s="178"/>
      <c r="M38" s="141"/>
      <c r="N38" s="121"/>
    </row>
    <row r="39" spans="1:15" x14ac:dyDescent="0.25">
      <c r="A39" s="121"/>
      <c r="B39" s="141"/>
      <c r="C39" s="141"/>
      <c r="D39" s="141"/>
      <c r="E39" s="141"/>
      <c r="F39" s="141"/>
      <c r="G39" s="141"/>
      <c r="H39" s="141"/>
      <c r="I39" s="141"/>
      <c r="J39" s="141"/>
      <c r="K39" s="141"/>
      <c r="L39" s="141"/>
      <c r="M39" s="141"/>
      <c r="N39" s="121"/>
    </row>
    <row r="40" spans="1:15" ht="6" customHeight="1" x14ac:dyDescent="0.25">
      <c r="A40" s="121"/>
      <c r="B40" s="121"/>
      <c r="C40" s="121"/>
      <c r="D40" s="121"/>
      <c r="E40" s="121"/>
      <c r="F40" s="121"/>
      <c r="G40" s="121"/>
      <c r="H40" s="121"/>
      <c r="I40" s="121"/>
      <c r="J40" s="121"/>
      <c r="K40" s="121"/>
      <c r="L40" s="121"/>
      <c r="M40" s="121"/>
      <c r="N40" s="121"/>
    </row>
    <row r="41" spans="1:15" x14ac:dyDescent="0.25">
      <c r="A41" s="121"/>
      <c r="B41" s="141"/>
      <c r="C41" s="156"/>
      <c r="D41" s="156"/>
      <c r="E41" s="156"/>
      <c r="F41" s="156"/>
      <c r="G41" s="156"/>
      <c r="H41" s="156"/>
      <c r="I41" s="156"/>
      <c r="J41" s="156"/>
      <c r="K41" s="156"/>
      <c r="L41" s="156"/>
      <c r="M41" s="141"/>
      <c r="N41" s="121"/>
    </row>
    <row r="42" spans="1:15" x14ac:dyDescent="0.25">
      <c r="A42" s="121"/>
      <c r="B42" s="141"/>
      <c r="C42" s="292"/>
      <c r="D42" s="293"/>
      <c r="E42" s="689"/>
      <c r="F42" s="689"/>
      <c r="G42" s="689"/>
      <c r="H42" s="689"/>
      <c r="I42" s="689"/>
      <c r="J42" s="689"/>
      <c r="K42" s="293"/>
      <c r="L42" s="162"/>
      <c r="M42" s="141"/>
      <c r="N42" s="121"/>
    </row>
    <row r="43" spans="1:15" ht="24" x14ac:dyDescent="0.4">
      <c r="A43" s="121"/>
      <c r="B43" s="141"/>
      <c r="C43" s="163"/>
      <c r="D43" s="164"/>
      <c r="E43" s="165" t="s">
        <v>64</v>
      </c>
      <c r="F43" s="165"/>
      <c r="G43" s="208"/>
      <c r="L43" s="166"/>
      <c r="M43" s="141"/>
      <c r="N43" s="121"/>
      <c r="O43" s="209"/>
    </row>
    <row r="44" spans="1:15" ht="8.1" customHeight="1" x14ac:dyDescent="0.25">
      <c r="A44" s="121"/>
      <c r="B44" s="141"/>
      <c r="C44" s="163"/>
      <c r="D44" s="164"/>
      <c r="E44" s="690"/>
      <c r="F44" s="690"/>
      <c r="G44" s="208"/>
      <c r="L44" s="166"/>
      <c r="M44" s="141"/>
      <c r="N44" s="121"/>
      <c r="O44" s="209"/>
    </row>
    <row r="45" spans="1:15" ht="27" x14ac:dyDescent="0.25">
      <c r="A45" s="121"/>
      <c r="B45" s="141"/>
      <c r="C45" s="163"/>
      <c r="D45" s="164"/>
      <c r="E45" s="697" t="s">
        <v>204</v>
      </c>
      <c r="F45" s="697"/>
      <c r="G45" s="698" t="s">
        <v>205</v>
      </c>
      <c r="H45" s="693" t="s">
        <v>206</v>
      </c>
      <c r="I45" s="693" t="s">
        <v>207</v>
      </c>
      <c r="J45" s="694" t="s">
        <v>203</v>
      </c>
      <c r="K45" s="699"/>
      <c r="L45" s="170"/>
      <c r="M45" s="141"/>
      <c r="N45" s="121"/>
    </row>
    <row r="46" spans="1:15" ht="22.5" customHeight="1" thickBot="1" x14ac:dyDescent="0.3">
      <c r="A46" s="121"/>
      <c r="B46" s="141"/>
      <c r="C46" s="163">
        <v>1</v>
      </c>
      <c r="D46" s="164"/>
      <c r="E46" s="781"/>
      <c r="F46" s="782"/>
      <c r="G46" s="86"/>
      <c r="H46" s="109"/>
      <c r="I46" s="49"/>
      <c r="J46" s="173">
        <f>ROUNDUP((H46*I46),0)</f>
        <v>0</v>
      </c>
      <c r="L46" s="166"/>
      <c r="M46" s="141"/>
      <c r="N46" s="121"/>
    </row>
    <row r="47" spans="1:15" ht="22.5" customHeight="1" thickTop="1" thickBot="1" x14ac:dyDescent="0.3">
      <c r="A47" s="121"/>
      <c r="B47" s="141"/>
      <c r="C47" s="163">
        <v>2</v>
      </c>
      <c r="D47" s="164"/>
      <c r="E47" s="781"/>
      <c r="F47" s="782"/>
      <c r="G47" s="86"/>
      <c r="H47" s="110"/>
      <c r="I47" s="50"/>
      <c r="J47" s="173">
        <f>ROUNDUP((H47*I47),0)</f>
        <v>0</v>
      </c>
      <c r="L47" s="166"/>
      <c r="M47" s="141"/>
      <c r="N47" s="121"/>
    </row>
    <row r="48" spans="1:15" ht="22.5" customHeight="1" thickTop="1" thickBot="1" x14ac:dyDescent="0.3">
      <c r="A48" s="121"/>
      <c r="B48" s="141"/>
      <c r="C48" s="163">
        <v>3</v>
      </c>
      <c r="D48" s="164"/>
      <c r="E48" s="781"/>
      <c r="F48" s="782"/>
      <c r="G48" s="86"/>
      <c r="H48" s="111"/>
      <c r="I48" s="50"/>
      <c r="J48" s="173">
        <f>ROUNDUP((H48*I48),0)</f>
        <v>0</v>
      </c>
      <c r="L48" s="166"/>
      <c r="M48" s="141"/>
      <c r="N48" s="121"/>
    </row>
    <row r="49" spans="1:14" ht="22.5" customHeight="1" thickTop="1" thickBot="1" x14ac:dyDescent="0.3">
      <c r="A49" s="121"/>
      <c r="B49" s="141"/>
      <c r="C49" s="163">
        <v>4</v>
      </c>
      <c r="D49" s="164"/>
      <c r="E49" s="781"/>
      <c r="F49" s="782"/>
      <c r="G49" s="86"/>
      <c r="H49" s="111"/>
      <c r="I49" s="50"/>
      <c r="J49" s="173">
        <f>ROUNDUP((H49*I49),0)</f>
        <v>0</v>
      </c>
      <c r="L49" s="166"/>
      <c r="M49" s="141"/>
      <c r="N49" s="121"/>
    </row>
    <row r="50" spans="1:14" ht="22.5" customHeight="1" thickTop="1" thickBot="1" x14ac:dyDescent="0.3">
      <c r="A50" s="121"/>
      <c r="B50" s="141"/>
      <c r="C50" s="163">
        <v>5</v>
      </c>
      <c r="D50" s="164"/>
      <c r="E50" s="781"/>
      <c r="F50" s="782"/>
      <c r="G50" s="86"/>
      <c r="H50" s="111"/>
      <c r="I50" s="50"/>
      <c r="J50" s="173">
        <f>ROUNDUP((H50*I50),0)</f>
        <v>0</v>
      </c>
      <c r="L50" s="166"/>
      <c r="M50" s="141"/>
      <c r="N50" s="121"/>
    </row>
    <row r="51" spans="1:14" ht="15.75" thickTop="1" x14ac:dyDescent="0.25">
      <c r="A51" s="121"/>
      <c r="B51" s="158"/>
      <c r="C51" s="181"/>
      <c r="D51" s="167"/>
      <c r="E51" s="695"/>
      <c r="F51" s="695"/>
      <c r="G51" s="695"/>
      <c r="H51" s="695"/>
      <c r="I51" s="695"/>
      <c r="J51" s="695"/>
      <c r="L51" s="166"/>
      <c r="M51" s="141"/>
      <c r="N51" s="121"/>
    </row>
    <row r="52" spans="1:14" ht="18.75" x14ac:dyDescent="0.25">
      <c r="A52" s="121"/>
      <c r="B52" s="158"/>
      <c r="C52" s="181"/>
      <c r="D52" s="167"/>
      <c r="E52" s="675"/>
      <c r="F52" s="675"/>
      <c r="G52" s="675"/>
      <c r="H52" s="167"/>
      <c r="I52" s="167"/>
      <c r="J52" s="672">
        <f>SUM(J46:J50)</f>
        <v>0</v>
      </c>
      <c r="L52" s="166"/>
      <c r="M52" s="141"/>
      <c r="N52" s="121"/>
    </row>
    <row r="53" spans="1:14" ht="15.75" customHeight="1" x14ac:dyDescent="0.25">
      <c r="A53" s="121"/>
      <c r="B53" s="158"/>
      <c r="C53" s="181"/>
      <c r="D53" s="167"/>
      <c r="E53" s="208"/>
      <c r="F53" s="208"/>
      <c r="G53" s="208"/>
      <c r="H53" s="167"/>
      <c r="I53" s="167"/>
      <c r="L53" s="166"/>
      <c r="M53" s="141"/>
      <c r="N53" s="121"/>
    </row>
    <row r="54" spans="1:14" ht="15.75" customHeight="1" x14ac:dyDescent="0.25">
      <c r="A54" s="121"/>
      <c r="B54" s="158"/>
      <c r="C54" s="181"/>
      <c r="D54" s="187"/>
      <c r="E54" s="777" t="str">
        <f>IF(E55="","Skriv kommentar:","")</f>
        <v>Skriv kommentar:</v>
      </c>
      <c r="F54" s="777"/>
      <c r="G54" s="777"/>
      <c r="H54" s="777"/>
      <c r="I54" s="777"/>
      <c r="J54" s="777"/>
      <c r="K54" s="244"/>
      <c r="L54" s="166"/>
      <c r="M54" s="141"/>
      <c r="N54" s="121"/>
    </row>
    <row r="55" spans="1:14" ht="15.75" customHeight="1" x14ac:dyDescent="0.25">
      <c r="A55" s="121"/>
      <c r="B55" s="158"/>
      <c r="C55" s="181"/>
      <c r="D55" s="188"/>
      <c r="E55" s="753"/>
      <c r="F55" s="779"/>
      <c r="G55" s="779"/>
      <c r="H55" s="779"/>
      <c r="I55" s="779"/>
      <c r="J55" s="779"/>
      <c r="K55" s="248"/>
      <c r="L55" s="166"/>
      <c r="M55" s="141"/>
      <c r="N55" s="121"/>
    </row>
    <row r="56" spans="1:14" ht="15.75" customHeight="1" x14ac:dyDescent="0.25">
      <c r="A56" s="121"/>
      <c r="B56" s="158"/>
      <c r="C56" s="181"/>
      <c r="D56" s="188"/>
      <c r="E56" s="779"/>
      <c r="F56" s="779"/>
      <c r="G56" s="779"/>
      <c r="H56" s="779"/>
      <c r="I56" s="779"/>
      <c r="J56" s="779"/>
      <c r="K56" s="248"/>
      <c r="L56" s="166"/>
      <c r="M56" s="141"/>
      <c r="N56" s="121"/>
    </row>
    <row r="57" spans="1:14" ht="15.75" customHeight="1" x14ac:dyDescent="0.25">
      <c r="A57" s="121"/>
      <c r="B57" s="158"/>
      <c r="C57" s="181"/>
      <c r="D57" s="188"/>
      <c r="E57" s="779"/>
      <c r="F57" s="779"/>
      <c r="G57" s="779"/>
      <c r="H57" s="779"/>
      <c r="I57" s="779"/>
      <c r="J57" s="779"/>
      <c r="K57" s="248"/>
      <c r="L57" s="166"/>
      <c r="M57" s="141"/>
      <c r="N57" s="121"/>
    </row>
    <row r="58" spans="1:14" x14ac:dyDescent="0.25">
      <c r="A58" s="121"/>
      <c r="B58" s="141"/>
      <c r="C58" s="189"/>
      <c r="D58" s="188"/>
      <c r="E58" s="779"/>
      <c r="F58" s="779"/>
      <c r="G58" s="779"/>
      <c r="H58" s="779"/>
      <c r="I58" s="779"/>
      <c r="J58" s="779"/>
      <c r="K58" s="526"/>
      <c r="L58" s="192"/>
      <c r="M58" s="141"/>
      <c r="N58" s="121"/>
    </row>
    <row r="59" spans="1:14" x14ac:dyDescent="0.25">
      <c r="A59" s="121"/>
      <c r="B59" s="141"/>
      <c r="C59" s="189"/>
      <c r="D59" s="190"/>
      <c r="E59" s="779"/>
      <c r="F59" s="779"/>
      <c r="G59" s="779"/>
      <c r="H59" s="779"/>
      <c r="I59" s="779"/>
      <c r="J59" s="779"/>
      <c r="K59" s="526"/>
      <c r="L59" s="192"/>
      <c r="M59" s="141"/>
      <c r="N59" s="121"/>
    </row>
    <row r="60" spans="1:14" x14ac:dyDescent="0.25">
      <c r="A60" s="121"/>
      <c r="B60" s="141"/>
      <c r="C60" s="189"/>
      <c r="D60" s="191"/>
      <c r="E60" s="780"/>
      <c r="F60" s="780"/>
      <c r="G60" s="780"/>
      <c r="H60" s="780"/>
      <c r="I60" s="780"/>
      <c r="J60" s="780"/>
      <c r="K60" s="527"/>
      <c r="L60" s="166"/>
      <c r="M60" s="141"/>
      <c r="N60" s="121"/>
    </row>
    <row r="61" spans="1:14" x14ac:dyDescent="0.25">
      <c r="A61" s="121"/>
      <c r="B61" s="141"/>
      <c r="C61" s="193"/>
      <c r="D61" s="194"/>
      <c r="E61" s="696"/>
      <c r="F61" s="696"/>
      <c r="G61" s="696"/>
      <c r="H61" s="696"/>
      <c r="I61" s="696"/>
      <c r="J61" s="696"/>
      <c r="K61" s="194"/>
      <c r="L61" s="178"/>
      <c r="M61" s="141"/>
      <c r="N61" s="121"/>
    </row>
    <row r="62" spans="1:14" x14ac:dyDescent="0.25">
      <c r="A62" s="121"/>
      <c r="B62" s="141"/>
      <c r="C62" s="141"/>
      <c r="D62" s="141"/>
      <c r="E62" s="141"/>
      <c r="F62" s="141"/>
      <c r="G62" s="141"/>
      <c r="H62" s="141"/>
      <c r="I62" s="141"/>
      <c r="J62" s="141"/>
      <c r="K62" s="141"/>
      <c r="L62" s="141"/>
      <c r="M62" s="141"/>
      <c r="N62" s="121"/>
    </row>
    <row r="63" spans="1:14" x14ac:dyDescent="0.25">
      <c r="A63" s="121"/>
      <c r="B63" s="141"/>
      <c r="C63" s="156"/>
      <c r="D63" s="156"/>
      <c r="E63" s="156"/>
      <c r="F63" s="156"/>
      <c r="G63" s="156"/>
      <c r="H63" s="156"/>
      <c r="I63" s="156"/>
      <c r="J63" s="156"/>
      <c r="K63" s="156"/>
      <c r="L63" s="156"/>
      <c r="M63" s="141"/>
      <c r="N63" s="121"/>
    </row>
    <row r="64" spans="1:14" x14ac:dyDescent="0.25">
      <c r="A64" s="121"/>
      <c r="B64" s="141"/>
      <c r="E64" s="207"/>
      <c r="F64" s="207"/>
      <c r="G64" s="207"/>
      <c r="H64" s="207"/>
      <c r="I64" s="207"/>
      <c r="J64" s="207"/>
      <c r="M64" s="141"/>
      <c r="N64" s="121"/>
    </row>
    <row r="65" spans="1:14" x14ac:dyDescent="0.25">
      <c r="A65" s="121"/>
      <c r="B65" s="141"/>
      <c r="D65" s="773" t="s">
        <v>287</v>
      </c>
      <c r="E65" s="774"/>
      <c r="F65" s="774"/>
      <c r="G65" s="774"/>
      <c r="H65" s="774"/>
      <c r="I65" s="723" t="s">
        <v>288</v>
      </c>
      <c r="J65" s="775" t="s">
        <v>289</v>
      </c>
      <c r="K65" s="776"/>
      <c r="M65" s="141"/>
      <c r="N65" s="121"/>
    </row>
    <row r="66" spans="1:14" ht="38.25" customHeight="1" x14ac:dyDescent="0.25">
      <c r="A66" s="121"/>
      <c r="B66" s="141"/>
      <c r="D66" s="191"/>
      <c r="E66" s="771"/>
      <c r="F66" s="771"/>
      <c r="G66" s="771"/>
      <c r="H66" s="772"/>
      <c r="I66" s="719"/>
      <c r="J66" s="720"/>
      <c r="K66" s="527"/>
      <c r="M66" s="141"/>
      <c r="N66" s="121"/>
    </row>
    <row r="67" spans="1:14" x14ac:dyDescent="0.25">
      <c r="A67" s="121"/>
      <c r="B67" s="141"/>
      <c r="E67" s="207"/>
      <c r="F67" s="207"/>
      <c r="G67" s="207"/>
      <c r="H67" s="207"/>
      <c r="I67" s="207"/>
      <c r="J67" s="207"/>
      <c r="M67" s="141"/>
      <c r="N67" s="121"/>
    </row>
    <row r="68" spans="1:14" x14ac:dyDescent="0.25">
      <c r="A68" s="121"/>
      <c r="B68" s="141"/>
      <c r="C68" s="141"/>
      <c r="D68" s="141"/>
      <c r="E68" s="141"/>
      <c r="F68" s="141"/>
      <c r="G68" s="141"/>
      <c r="H68" s="141"/>
      <c r="I68" s="141"/>
      <c r="J68" s="141"/>
      <c r="K68" s="141"/>
      <c r="L68" s="141"/>
      <c r="M68" s="141"/>
      <c r="N68" s="121"/>
    </row>
    <row r="69" spans="1:14" ht="6" customHeight="1" x14ac:dyDescent="0.25">
      <c r="A69" s="121"/>
      <c r="B69" s="121"/>
      <c r="C69" s="121"/>
      <c r="D69" s="121"/>
      <c r="E69" s="121"/>
      <c r="F69" s="121"/>
      <c r="G69" s="121"/>
      <c r="H69" s="121"/>
      <c r="I69" s="121"/>
      <c r="J69" s="121"/>
      <c r="K69" s="121"/>
      <c r="L69" s="121"/>
      <c r="M69" s="121"/>
      <c r="N69" s="121"/>
    </row>
  </sheetData>
  <sheetProtection algorithmName="SHA-512" hashValue="sVUCze8u3VPSpMOhL+o8DWnVqxX3vPaFA1NSLAb2hfSAuF21Yjeg4Fe01mSkrw7WXYUd3JxYCAIPmcf1dqyKSg==" saltValue="/BkYznSYHaQLZ5/KjYzCPg==" spinCount="100000" sheet="1" objects="1" scenarios="1"/>
  <mergeCells count="14">
    <mergeCell ref="E66:H66"/>
    <mergeCell ref="D65:H65"/>
    <mergeCell ref="J65:K65"/>
    <mergeCell ref="E31:J31"/>
    <mergeCell ref="H7:J14"/>
    <mergeCell ref="E7:G14"/>
    <mergeCell ref="E32:J37"/>
    <mergeCell ref="E55:J60"/>
    <mergeCell ref="E54:J54"/>
    <mergeCell ref="E46:F46"/>
    <mergeCell ref="E47:F47"/>
    <mergeCell ref="E48:F48"/>
    <mergeCell ref="E49:F49"/>
    <mergeCell ref="E50:F50"/>
  </mergeCells>
  <conditionalFormatting sqref="F1:F4">
    <cfRule type="expression" dxfId="41" priority="4">
      <formula>F1=0</formula>
    </cfRule>
  </conditionalFormatting>
  <conditionalFormatting sqref="H7">
    <cfRule type="expression" dxfId="40" priority="1">
      <formula>H7=$S$9</formula>
    </cfRule>
    <cfRule type="expression" dxfId="39" priority="2">
      <formula>LEFT(H7,14)=$R$9</formula>
    </cfRule>
    <cfRule type="expression" dxfId="38" priority="3">
      <formula>H7="*utregnes automatisk"</formula>
    </cfRule>
  </conditionalFormatting>
  <conditionalFormatting sqref="I1:I4">
    <cfRule type="expression" dxfId="37" priority="5">
      <formula>I1=$Q$8</formula>
    </cfRule>
    <cfRule type="expression" dxfId="36" priority="6">
      <formula>LEFT(I1,14)=$Q$7</formula>
    </cfRule>
    <cfRule type="expression" dxfId="35" priority="7">
      <formula>I1="*utregnes automatisk"</formula>
    </cfRule>
  </conditionalFormatting>
  <dataValidations count="1">
    <dataValidation allowBlank="1" showErrorMessage="1" sqref="E46:E50 G46:G50" xr:uid="{796D9D94-0773-43F2-808E-77ACEADDBF68}"/>
  </dataValidations>
  <pageMargins left="0.70866141732283472" right="0.70866141732283472" top="0.74803149606299213" bottom="0.74803149606299213" header="0.31496062992125984" footer="0.31496062992125984"/>
  <pageSetup paperSize="9" scale="66" orientation="portrait" r:id="rId1"/>
  <extLst>
    <ext xmlns:x14="http://schemas.microsoft.com/office/spreadsheetml/2009/9/main" uri="{CCE6A557-97BC-4b89-ADB6-D9C93CAAB3DF}">
      <x14:dataValidations xmlns:xm="http://schemas.microsoft.com/office/excel/2006/main" count="1">
        <x14:dataValidation type="list" allowBlank="1" xr:uid="{E4EAADD6-7434-472F-9EA5-38FF814178EB}">
          <x14:formula1>
            <xm:f>Innstillinger!$E$67:$E$70</xm:f>
          </x14:formula1>
          <xm:sqref>G23:G27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D10C3-02D3-401E-A47D-EA55CF1FA5CE}">
  <sheetPr codeName="Ark5">
    <pageSetUpPr autoPageBreaks="0" fitToPage="1"/>
  </sheetPr>
  <dimension ref="A1:X56"/>
  <sheetViews>
    <sheetView showGridLines="0" tabSelected="1" zoomScale="110" zoomScaleNormal="110" workbookViewId="0">
      <pane ySplit="4" topLeftCell="A5" activePane="bottomLeft" state="frozen"/>
      <selection activeCell="E21" sqref="E21"/>
      <selection pane="bottomLeft" activeCell="K20" sqref="K20"/>
    </sheetView>
  </sheetViews>
  <sheetFormatPr baseColWidth="10" defaultColWidth="0" defaultRowHeight="15" zeroHeight="1" x14ac:dyDescent="0.25"/>
  <cols>
    <col min="1" max="1" width="1.42578125" style="127" customWidth="1"/>
    <col min="2" max="3" width="4.28515625" style="127" customWidth="1"/>
    <col min="4" max="4" width="1.28515625" style="127" customWidth="1"/>
    <col min="5" max="5" width="8.7109375" style="127" customWidth="1"/>
    <col min="6" max="6" width="16.7109375" style="127" customWidth="1"/>
    <col min="7" max="7" width="11" style="127" customWidth="1"/>
    <col min="8" max="8" width="9.140625" style="127" customWidth="1"/>
    <col min="9" max="10" width="1.28515625" style="127" customWidth="1"/>
    <col min="11" max="12" width="11" style="127" customWidth="1"/>
    <col min="13" max="13" width="17.140625" style="127" customWidth="1"/>
    <col min="14" max="14" width="10" style="127" customWidth="1"/>
    <col min="15" max="15" width="7.7109375" style="127" customWidth="1"/>
    <col min="16" max="16" width="14" style="127" customWidth="1"/>
    <col min="17" max="17" width="1.28515625" style="127" customWidth="1"/>
    <col min="18" max="18" width="6.140625" style="127" customWidth="1"/>
    <col min="19" max="19" width="4.28515625" style="127" customWidth="1"/>
    <col min="20" max="20" width="1.42578125" style="127" customWidth="1"/>
    <col min="21" max="21" width="11.28515625" style="127" hidden="1" customWidth="1"/>
    <col min="22" max="22" width="21.5703125" style="127" hidden="1" customWidth="1"/>
    <col min="23" max="23" width="27.42578125" style="127" hidden="1" customWidth="1"/>
    <col min="24" max="24" width="5.140625" style="127" hidden="1" customWidth="1"/>
    <col min="25" max="16384" width="11.42578125" style="127" hidden="1"/>
  </cols>
  <sheetData>
    <row r="1" spans="1:20" ht="8.1" customHeight="1" x14ac:dyDescent="0.25">
      <c r="A1" s="621"/>
      <c r="B1" s="621"/>
      <c r="C1" s="621"/>
      <c r="D1" s="621"/>
      <c r="E1" s="621"/>
      <c r="F1" s="630"/>
      <c r="G1" s="626"/>
      <c r="H1" s="631"/>
      <c r="I1" s="631"/>
      <c r="J1" s="631"/>
      <c r="K1" s="631"/>
      <c r="L1" s="632"/>
      <c r="M1" s="633"/>
      <c r="N1" s="621"/>
      <c r="O1" s="621"/>
      <c r="P1" s="621"/>
      <c r="Q1" s="621"/>
      <c r="R1" s="621"/>
      <c r="S1" s="621"/>
      <c r="T1" s="621"/>
    </row>
    <row r="2" spans="1:20" ht="31.5" x14ac:dyDescent="0.5">
      <c r="A2" s="622"/>
      <c r="B2" s="622"/>
      <c r="C2" s="629">
        <v>6</v>
      </c>
      <c r="D2" s="623"/>
      <c r="E2" s="624" t="s">
        <v>208</v>
      </c>
      <c r="F2" s="625"/>
      <c r="G2" s="626"/>
      <c r="H2" s="627"/>
      <c r="I2" s="627"/>
      <c r="J2" s="627"/>
      <c r="K2" s="627"/>
      <c r="L2" s="628"/>
      <c r="M2" s="622"/>
      <c r="N2" s="622"/>
      <c r="O2" s="623"/>
      <c r="P2" s="622"/>
      <c r="Q2" s="622"/>
      <c r="R2" s="622"/>
      <c r="S2" s="622"/>
      <c r="T2" s="622"/>
    </row>
    <row r="3" spans="1:20" x14ac:dyDescent="0.25">
      <c r="A3" s="634"/>
      <c r="B3" s="634"/>
      <c r="C3" s="634"/>
      <c r="D3" s="635"/>
      <c r="E3" s="636" t="str">
        <f>" - dokumenterte utgifter på inntil 30 000 kroner"</f>
        <v xml:space="preserve"> - dokumenterte utgifter på inntil 30 000 kroner</v>
      </c>
      <c r="F3" s="637"/>
      <c r="G3" s="634"/>
      <c r="H3" s="638"/>
      <c r="I3" s="638"/>
      <c r="J3" s="638"/>
      <c r="K3" s="638"/>
      <c r="L3" s="639"/>
      <c r="M3" s="634"/>
      <c r="N3" s="634"/>
      <c r="O3" s="635"/>
      <c r="P3" s="634"/>
      <c r="Q3" s="634"/>
      <c r="R3" s="634"/>
      <c r="S3" s="634"/>
      <c r="T3" s="634"/>
    </row>
    <row r="4" spans="1:20" ht="8.1" customHeight="1" x14ac:dyDescent="0.25">
      <c r="A4" s="621"/>
      <c r="B4" s="621"/>
      <c r="C4" s="621"/>
      <c r="D4" s="621"/>
      <c r="E4" s="621"/>
      <c r="F4" s="630"/>
      <c r="G4" s="626"/>
      <c r="H4" s="631"/>
      <c r="I4" s="631"/>
      <c r="J4" s="631"/>
      <c r="K4" s="631"/>
      <c r="L4" s="632"/>
      <c r="M4" s="621"/>
      <c r="N4" s="621"/>
      <c r="O4" s="621"/>
      <c r="P4" s="621"/>
      <c r="Q4" s="621"/>
      <c r="R4" s="621"/>
      <c r="S4" s="621"/>
      <c r="T4" s="621"/>
    </row>
    <row r="5" spans="1:20" ht="15" customHeight="1" x14ac:dyDescent="0.25">
      <c r="A5" s="676"/>
      <c r="B5" s="141"/>
      <c r="C5" s="141"/>
      <c r="D5" s="141"/>
      <c r="E5" s="141"/>
      <c r="F5" s="141"/>
      <c r="G5" s="141"/>
      <c r="H5" s="141"/>
      <c r="I5" s="141"/>
      <c r="J5" s="141"/>
      <c r="K5" s="141"/>
      <c r="L5" s="141"/>
      <c r="M5" s="141"/>
      <c r="N5" s="141"/>
      <c r="O5" s="141"/>
      <c r="P5" s="141"/>
      <c r="Q5" s="141"/>
      <c r="R5" s="141"/>
      <c r="S5" s="141"/>
      <c r="T5" s="676"/>
    </row>
    <row r="6" spans="1:20" ht="24" x14ac:dyDescent="0.4">
      <c r="A6" s="621"/>
      <c r="B6" s="141"/>
      <c r="C6" s="142"/>
      <c r="D6" s="143" t="s">
        <v>69</v>
      </c>
      <c r="E6" s="143"/>
      <c r="F6" s="143"/>
      <c r="G6" s="144"/>
      <c r="H6" s="145"/>
      <c r="I6" s="145"/>
      <c r="J6" s="145"/>
      <c r="K6" s="145"/>
      <c r="L6" s="146"/>
      <c r="M6" s="145" t="s">
        <v>70</v>
      </c>
      <c r="N6" s="147"/>
      <c r="O6" s="148"/>
      <c r="P6" s="147"/>
      <c r="Q6" s="149"/>
      <c r="R6" s="149"/>
      <c r="S6" s="141"/>
      <c r="T6" s="621"/>
    </row>
    <row r="7" spans="1:20" ht="22.5" customHeight="1" x14ac:dyDescent="0.25">
      <c r="A7" s="621"/>
      <c r="B7" s="141"/>
      <c r="C7" s="150"/>
      <c r="D7" s="765" t="s">
        <v>209</v>
      </c>
      <c r="E7" s="766"/>
      <c r="F7" s="766"/>
      <c r="G7" s="766"/>
      <c r="H7" s="766"/>
      <c r="I7" s="766"/>
      <c r="J7" s="766"/>
      <c r="K7" s="766"/>
      <c r="L7" s="766"/>
      <c r="M7" s="758" t="s">
        <v>210</v>
      </c>
      <c r="N7" s="758"/>
      <c r="O7" s="758"/>
      <c r="P7" s="758"/>
      <c r="Q7" s="151"/>
      <c r="R7" s="151"/>
      <c r="S7" s="141"/>
      <c r="T7" s="621"/>
    </row>
    <row r="8" spans="1:20" ht="22.5" customHeight="1" x14ac:dyDescent="0.25">
      <c r="A8" s="621"/>
      <c r="B8" s="141"/>
      <c r="C8" s="152"/>
      <c r="D8" s="766"/>
      <c r="E8" s="766"/>
      <c r="F8" s="766"/>
      <c r="G8" s="766"/>
      <c r="H8" s="766"/>
      <c r="I8" s="766"/>
      <c r="J8" s="766"/>
      <c r="K8" s="766"/>
      <c r="L8" s="766"/>
      <c r="M8" s="758"/>
      <c r="N8" s="758"/>
      <c r="O8" s="758"/>
      <c r="P8" s="758"/>
      <c r="Q8" s="151"/>
      <c r="R8" s="151"/>
      <c r="S8" s="141"/>
      <c r="T8" s="621"/>
    </row>
    <row r="9" spans="1:20" ht="22.5" customHeight="1" x14ac:dyDescent="0.25">
      <c r="A9" s="621"/>
      <c r="B9" s="141"/>
      <c r="C9" s="152"/>
      <c r="D9" s="766"/>
      <c r="E9" s="766"/>
      <c r="F9" s="766"/>
      <c r="G9" s="766"/>
      <c r="H9" s="766"/>
      <c r="I9" s="766"/>
      <c r="J9" s="766"/>
      <c r="K9" s="766"/>
      <c r="L9" s="766"/>
      <c r="M9" s="758"/>
      <c r="N9" s="758"/>
      <c r="O9" s="758"/>
      <c r="P9" s="758"/>
      <c r="Q9" s="151"/>
      <c r="R9" s="151"/>
      <c r="S9" s="141"/>
      <c r="T9" s="621"/>
    </row>
    <row r="10" spans="1:20" ht="22.5" customHeight="1" x14ac:dyDescent="0.25">
      <c r="A10" s="621"/>
      <c r="B10" s="141"/>
      <c r="C10" s="152"/>
      <c r="D10" s="766"/>
      <c r="E10" s="766"/>
      <c r="F10" s="766"/>
      <c r="G10" s="766"/>
      <c r="H10" s="766"/>
      <c r="I10" s="766"/>
      <c r="J10" s="766"/>
      <c r="K10" s="766"/>
      <c r="L10" s="766"/>
      <c r="M10" s="758"/>
      <c r="N10" s="758"/>
      <c r="O10" s="758"/>
      <c r="P10" s="758"/>
      <c r="Q10" s="151"/>
      <c r="R10" s="151"/>
      <c r="S10" s="141"/>
      <c r="T10" s="621"/>
    </row>
    <row r="11" spans="1:20" ht="22.5" customHeight="1" x14ac:dyDescent="0.25">
      <c r="A11" s="621"/>
      <c r="B11" s="141"/>
      <c r="C11" s="152"/>
      <c r="D11" s="766"/>
      <c r="E11" s="766"/>
      <c r="F11" s="766"/>
      <c r="G11" s="766"/>
      <c r="H11" s="766"/>
      <c r="I11" s="766"/>
      <c r="J11" s="766"/>
      <c r="K11" s="766"/>
      <c r="L11" s="766"/>
      <c r="M11" s="758"/>
      <c r="N11" s="758"/>
      <c r="O11" s="758"/>
      <c r="P11" s="758"/>
      <c r="Q11" s="151"/>
      <c r="R11" s="151"/>
      <c r="S11" s="141"/>
      <c r="T11" s="621"/>
    </row>
    <row r="12" spans="1:20" ht="22.5" customHeight="1" x14ac:dyDescent="0.25">
      <c r="A12" s="621"/>
      <c r="B12" s="141"/>
      <c r="C12" s="152"/>
      <c r="D12" s="766"/>
      <c r="E12" s="766"/>
      <c r="F12" s="766"/>
      <c r="G12" s="766"/>
      <c r="H12" s="766"/>
      <c r="I12" s="766"/>
      <c r="J12" s="766"/>
      <c r="K12" s="766"/>
      <c r="L12" s="766"/>
      <c r="M12" s="758"/>
      <c r="N12" s="758"/>
      <c r="O12" s="758"/>
      <c r="P12" s="758"/>
      <c r="Q12" s="151"/>
      <c r="R12" s="151"/>
      <c r="S12" s="141"/>
      <c r="T12" s="621"/>
    </row>
    <row r="13" spans="1:20" ht="15" customHeight="1" x14ac:dyDescent="0.25">
      <c r="A13" s="621"/>
      <c r="B13" s="141"/>
      <c r="C13" s="153"/>
      <c r="D13" s="153"/>
      <c r="E13" s="153"/>
      <c r="F13" s="153"/>
      <c r="G13" s="154"/>
      <c r="H13" s="784"/>
      <c r="I13" s="784"/>
      <c r="J13" s="784"/>
      <c r="K13" s="784"/>
      <c r="L13" s="784"/>
      <c r="M13" s="155"/>
      <c r="N13" s="155"/>
      <c r="O13" s="155"/>
      <c r="P13" s="155"/>
      <c r="Q13" s="155"/>
      <c r="R13" s="155"/>
      <c r="S13" s="141"/>
      <c r="T13" s="621"/>
    </row>
    <row r="14" spans="1:20" x14ac:dyDescent="0.25">
      <c r="A14" s="621"/>
      <c r="B14" s="141"/>
      <c r="C14" s="156"/>
      <c r="D14" s="156"/>
      <c r="E14" s="156"/>
      <c r="F14" s="156"/>
      <c r="G14" s="157"/>
      <c r="H14" s="156"/>
      <c r="I14" s="156"/>
      <c r="J14" s="156"/>
      <c r="K14" s="156"/>
      <c r="L14" s="156"/>
      <c r="M14" s="156"/>
      <c r="N14" s="156"/>
      <c r="O14" s="156"/>
      <c r="P14" s="156"/>
      <c r="Q14" s="156"/>
      <c r="R14" s="156"/>
      <c r="S14" s="141"/>
      <c r="T14" s="621"/>
    </row>
    <row r="15" spans="1:20" ht="6" customHeight="1" x14ac:dyDescent="0.25">
      <c r="A15" s="621"/>
      <c r="B15" s="121"/>
      <c r="C15" s="121"/>
      <c r="D15" s="121"/>
      <c r="E15" s="121"/>
      <c r="F15" s="121"/>
      <c r="G15" s="124"/>
      <c r="H15" s="121"/>
      <c r="I15" s="121"/>
      <c r="J15" s="121"/>
      <c r="K15" s="121"/>
      <c r="L15" s="121"/>
      <c r="M15" s="121"/>
      <c r="N15" s="121"/>
      <c r="O15" s="121"/>
      <c r="P15" s="121"/>
      <c r="Q15" s="121"/>
      <c r="R15" s="121"/>
      <c r="S15" s="121"/>
      <c r="T15" s="621"/>
    </row>
    <row r="16" spans="1:20" x14ac:dyDescent="0.25">
      <c r="A16" s="621"/>
      <c r="B16" s="141"/>
      <c r="C16" s="156"/>
      <c r="D16" s="156"/>
      <c r="E16" s="156"/>
      <c r="F16" s="156"/>
      <c r="G16" s="157"/>
      <c r="H16" s="156"/>
      <c r="I16" s="156"/>
      <c r="J16" s="156"/>
      <c r="K16" s="156"/>
      <c r="L16" s="156"/>
      <c r="M16" s="156"/>
      <c r="N16" s="156"/>
      <c r="O16" s="156"/>
      <c r="P16" s="156"/>
      <c r="Q16" s="156"/>
      <c r="R16" s="156"/>
      <c r="S16" s="141"/>
      <c r="T16" s="621"/>
    </row>
    <row r="17" spans="1:20" x14ac:dyDescent="0.25">
      <c r="A17" s="621"/>
      <c r="B17" s="158"/>
      <c r="C17" s="159"/>
      <c r="D17" s="160"/>
      <c r="E17" s="161"/>
      <c r="F17" s="160"/>
      <c r="G17" s="160"/>
      <c r="H17" s="160"/>
      <c r="I17" s="160"/>
      <c r="J17" s="160"/>
      <c r="K17" s="160"/>
      <c r="L17" s="160"/>
      <c r="M17" s="160"/>
      <c r="N17" s="160"/>
      <c r="O17" s="160"/>
      <c r="P17" s="160"/>
      <c r="Q17" s="162"/>
      <c r="R17" s="162"/>
      <c r="S17" s="141"/>
      <c r="T17" s="621"/>
    </row>
    <row r="18" spans="1:20" ht="24" x14ac:dyDescent="0.4">
      <c r="A18" s="621"/>
      <c r="B18" s="141"/>
      <c r="C18" s="163"/>
      <c r="D18" s="164"/>
      <c r="E18" s="165" t="s">
        <v>211</v>
      </c>
      <c r="F18" s="165"/>
      <c r="G18" s="165"/>
      <c r="H18" s="165"/>
      <c r="I18" s="165"/>
      <c r="J18" s="165"/>
      <c r="K18" s="165"/>
      <c r="L18" s="165"/>
      <c r="M18" s="165"/>
      <c r="N18" s="165"/>
      <c r="O18" s="165"/>
      <c r="Q18" s="166"/>
      <c r="R18" s="166"/>
      <c r="S18" s="141"/>
      <c r="T18" s="621"/>
    </row>
    <row r="19" spans="1:20" ht="8.1" customHeight="1" x14ac:dyDescent="0.25">
      <c r="A19" s="621"/>
      <c r="B19" s="141"/>
      <c r="C19" s="163"/>
      <c r="D19" s="164"/>
      <c r="E19" s="167"/>
      <c r="F19" s="167"/>
      <c r="G19" s="167"/>
      <c r="H19" s="167"/>
      <c r="I19" s="167"/>
      <c r="J19" s="167"/>
      <c r="K19" s="167"/>
      <c r="L19" s="167"/>
      <c r="M19" s="167"/>
      <c r="N19" s="167"/>
      <c r="O19" s="167"/>
      <c r="Q19" s="166"/>
      <c r="R19" s="166"/>
      <c r="S19" s="141"/>
      <c r="T19" s="621"/>
    </row>
    <row r="20" spans="1:20" ht="40.5" x14ac:dyDescent="0.25">
      <c r="A20" s="621"/>
      <c r="B20" s="141"/>
      <c r="C20" s="163"/>
      <c r="D20" s="164"/>
      <c r="E20" s="168" t="s">
        <v>212</v>
      </c>
      <c r="F20" s="168" t="s">
        <v>213</v>
      </c>
      <c r="G20" s="168" t="s">
        <v>214</v>
      </c>
      <c r="H20" s="168" t="s">
        <v>215</v>
      </c>
      <c r="I20" s="168"/>
      <c r="J20" s="168"/>
      <c r="K20" s="615" t="s">
        <v>290</v>
      </c>
      <c r="L20" s="168" t="s">
        <v>216</v>
      </c>
      <c r="M20" s="168" t="s">
        <v>217</v>
      </c>
      <c r="N20" s="168" t="s">
        <v>218</v>
      </c>
      <c r="O20" s="168" t="s">
        <v>219</v>
      </c>
      <c r="P20" s="169" t="s">
        <v>203</v>
      </c>
      <c r="Q20" s="170"/>
      <c r="R20" s="170"/>
      <c r="S20" s="141"/>
      <c r="T20" s="621"/>
    </row>
    <row r="21" spans="1:20" ht="22.5" customHeight="1" thickBot="1" x14ac:dyDescent="0.3">
      <c r="A21" s="633"/>
      <c r="B21" s="171"/>
      <c r="C21" s="163">
        <v>1</v>
      </c>
      <c r="D21" s="164"/>
      <c r="E21" s="567"/>
      <c r="F21" s="568"/>
      <c r="G21" s="569"/>
      <c r="H21" s="789">
        <v>0.11</v>
      </c>
      <c r="I21" s="790"/>
      <c r="J21" s="791"/>
      <c r="K21" s="616">
        <v>-0.02</v>
      </c>
      <c r="L21" s="51"/>
      <c r="M21" s="172">
        <f>((F21*(1+G21+(H21+K21)+(G21*(H21+K21))))*(1+L21))/1950</f>
        <v>0</v>
      </c>
      <c r="N21" s="49"/>
      <c r="O21" s="52"/>
      <c r="P21" s="173">
        <f>ROUNDUP(E21*M21*N21*O21,0)</f>
        <v>0</v>
      </c>
      <c r="Q21" s="174"/>
      <c r="R21" s="174"/>
      <c r="S21" s="171"/>
      <c r="T21" s="633"/>
    </row>
    <row r="22" spans="1:20" ht="22.5" customHeight="1" thickTop="1" thickBot="1" x14ac:dyDescent="0.3">
      <c r="A22" s="633"/>
      <c r="B22" s="171"/>
      <c r="C22" s="163">
        <v>2</v>
      </c>
      <c r="D22" s="164"/>
      <c r="E22" s="567"/>
      <c r="F22" s="568"/>
      <c r="G22" s="570"/>
      <c r="H22" s="789">
        <v>0.11</v>
      </c>
      <c r="I22" s="790"/>
      <c r="J22" s="791"/>
      <c r="K22" s="616">
        <v>-0.02</v>
      </c>
      <c r="L22" s="51"/>
      <c r="M22" s="172">
        <f t="shared" ref="M22:M25" si="0">((F22*(1+G22+(H22+K22)+(G22*(H22+K22))))*(1+L22))/1950</f>
        <v>0</v>
      </c>
      <c r="N22" s="50"/>
      <c r="O22" s="572"/>
      <c r="P22" s="173">
        <f t="shared" ref="P22:P25" si="1">ROUNDUP(E22*M22*N22*O22,0)</f>
        <v>0</v>
      </c>
      <c r="Q22" s="174"/>
      <c r="R22" s="174"/>
      <c r="S22" s="171"/>
      <c r="T22" s="633"/>
    </row>
    <row r="23" spans="1:20" ht="22.5" customHeight="1" thickTop="1" thickBot="1" x14ac:dyDescent="0.3">
      <c r="A23" s="633"/>
      <c r="B23" s="171"/>
      <c r="C23" s="163">
        <v>3</v>
      </c>
      <c r="D23" s="164"/>
      <c r="E23" s="567"/>
      <c r="F23" s="571"/>
      <c r="G23" s="570"/>
      <c r="H23" s="789">
        <v>0.11</v>
      </c>
      <c r="I23" s="790"/>
      <c r="J23" s="791"/>
      <c r="K23" s="616">
        <v>-0.02</v>
      </c>
      <c r="L23" s="570"/>
      <c r="M23" s="172">
        <f t="shared" si="0"/>
        <v>0</v>
      </c>
      <c r="N23" s="50"/>
      <c r="O23" s="572"/>
      <c r="P23" s="173">
        <f t="shared" si="1"/>
        <v>0</v>
      </c>
      <c r="Q23" s="174"/>
      <c r="R23" s="174"/>
      <c r="S23" s="171"/>
      <c r="T23" s="633"/>
    </row>
    <row r="24" spans="1:20" ht="22.5" customHeight="1" thickTop="1" thickBot="1" x14ac:dyDescent="0.3">
      <c r="A24" s="633"/>
      <c r="B24" s="171"/>
      <c r="C24" s="163">
        <v>4</v>
      </c>
      <c r="D24" s="164"/>
      <c r="E24" s="567"/>
      <c r="F24" s="571"/>
      <c r="G24" s="570"/>
      <c r="H24" s="789">
        <v>0.11</v>
      </c>
      <c r="I24" s="790"/>
      <c r="J24" s="791"/>
      <c r="K24" s="616">
        <v>-0.02</v>
      </c>
      <c r="L24" s="570"/>
      <c r="M24" s="172">
        <f t="shared" si="0"/>
        <v>0</v>
      </c>
      <c r="N24" s="50"/>
      <c r="O24" s="572"/>
      <c r="P24" s="173">
        <f t="shared" si="1"/>
        <v>0</v>
      </c>
      <c r="Q24" s="174"/>
      <c r="R24" s="174"/>
      <c r="S24" s="171"/>
      <c r="T24" s="633"/>
    </row>
    <row r="25" spans="1:20" ht="22.5" customHeight="1" thickTop="1" thickBot="1" x14ac:dyDescent="0.3">
      <c r="A25" s="633"/>
      <c r="B25" s="171"/>
      <c r="C25" s="163">
        <v>5</v>
      </c>
      <c r="D25" s="164"/>
      <c r="E25" s="567"/>
      <c r="F25" s="571"/>
      <c r="G25" s="570"/>
      <c r="H25" s="789">
        <v>0.11</v>
      </c>
      <c r="I25" s="790"/>
      <c r="J25" s="791"/>
      <c r="K25" s="616">
        <v>-0.02</v>
      </c>
      <c r="L25" s="570"/>
      <c r="M25" s="172">
        <f t="shared" si="0"/>
        <v>0</v>
      </c>
      <c r="N25" s="50"/>
      <c r="O25" s="572"/>
      <c r="P25" s="173">
        <f t="shared" si="1"/>
        <v>0</v>
      </c>
      <c r="Q25" s="174"/>
      <c r="R25" s="174"/>
      <c r="S25" s="171"/>
      <c r="T25" s="633"/>
    </row>
    <row r="26" spans="1:20" ht="15.75" thickTop="1" x14ac:dyDescent="0.25">
      <c r="A26" s="621"/>
      <c r="B26" s="141"/>
      <c r="C26" s="175"/>
      <c r="D26" s="176"/>
      <c r="E26" s="177"/>
      <c r="F26" s="177"/>
      <c r="G26" s="177"/>
      <c r="H26" s="177"/>
      <c r="I26" s="177"/>
      <c r="J26" s="177"/>
      <c r="K26" s="177"/>
      <c r="L26" s="177"/>
      <c r="M26" s="177"/>
      <c r="N26" s="177"/>
      <c r="O26" s="177"/>
      <c r="P26" s="177"/>
      <c r="Q26" s="178"/>
      <c r="R26" s="178"/>
      <c r="S26" s="141"/>
      <c r="T26" s="621"/>
    </row>
    <row r="27" spans="1:20" x14ac:dyDescent="0.25">
      <c r="A27" s="621"/>
      <c r="B27" s="141"/>
      <c r="C27" s="156"/>
      <c r="D27" s="156"/>
      <c r="E27" s="156"/>
      <c r="F27" s="156"/>
      <c r="G27" s="157"/>
      <c r="H27" s="156"/>
      <c r="I27" s="156"/>
      <c r="J27" s="156"/>
      <c r="K27" s="156"/>
      <c r="L27" s="156"/>
      <c r="M27" s="156"/>
      <c r="N27" s="156"/>
      <c r="O27" s="156"/>
      <c r="P27" s="156"/>
      <c r="Q27" s="156"/>
      <c r="R27" s="156"/>
      <c r="S27" s="141"/>
      <c r="T27" s="621"/>
    </row>
    <row r="28" spans="1:20" x14ac:dyDescent="0.25">
      <c r="A28" s="621"/>
      <c r="B28" s="141"/>
      <c r="C28" s="156"/>
      <c r="D28" s="156"/>
      <c r="E28" s="156"/>
      <c r="F28" s="156"/>
      <c r="G28" s="157"/>
      <c r="H28" s="156"/>
      <c r="I28" s="156"/>
      <c r="J28" s="156"/>
      <c r="K28" s="156"/>
      <c r="L28" s="156"/>
      <c r="M28" s="156"/>
      <c r="N28" s="156"/>
      <c r="O28" s="156"/>
      <c r="P28" s="156"/>
      <c r="Q28" s="156"/>
      <c r="R28" s="156"/>
      <c r="S28" s="141"/>
      <c r="T28" s="621"/>
    </row>
    <row r="29" spans="1:20" x14ac:dyDescent="0.25">
      <c r="A29" s="621"/>
      <c r="B29" s="158"/>
      <c r="C29" s="159"/>
      <c r="D29" s="160"/>
      <c r="E29" s="161"/>
      <c r="F29" s="160"/>
      <c r="G29" s="160"/>
      <c r="H29" s="160"/>
      <c r="I29" s="160"/>
      <c r="J29" s="160"/>
      <c r="K29" s="160"/>
      <c r="L29" s="160"/>
      <c r="M29" s="160"/>
      <c r="N29" s="160"/>
      <c r="O29" s="160"/>
      <c r="P29" s="160"/>
      <c r="Q29" s="162"/>
      <c r="R29" s="162"/>
      <c r="S29" s="141"/>
      <c r="T29" s="621"/>
    </row>
    <row r="30" spans="1:20" ht="24" x14ac:dyDescent="0.4">
      <c r="A30" s="621"/>
      <c r="B30" s="141"/>
      <c r="C30" s="163"/>
      <c r="D30" s="164"/>
      <c r="E30" s="165" t="s">
        <v>220</v>
      </c>
      <c r="F30" s="165"/>
      <c r="G30" s="165"/>
      <c r="H30" s="165"/>
      <c r="I30" s="165"/>
      <c r="J30" s="165"/>
      <c r="K30" s="165"/>
      <c r="L30" s="165"/>
      <c r="M30" s="165"/>
      <c r="N30" s="165"/>
      <c r="Q30" s="166"/>
      <c r="R30" s="166"/>
      <c r="S30" s="141"/>
      <c r="T30" s="621"/>
    </row>
    <row r="31" spans="1:20" ht="8.1" customHeight="1" x14ac:dyDescent="0.25">
      <c r="A31" s="621"/>
      <c r="B31" s="141"/>
      <c r="C31" s="163"/>
      <c r="D31" s="164"/>
      <c r="E31" s="167"/>
      <c r="F31" s="167"/>
      <c r="G31" s="167"/>
      <c r="H31" s="167"/>
      <c r="I31" s="167"/>
      <c r="J31" s="167"/>
      <c r="K31" s="167"/>
      <c r="L31" s="167"/>
      <c r="M31" s="167"/>
      <c r="N31" s="167"/>
      <c r="O31" s="167"/>
      <c r="Q31" s="166"/>
      <c r="R31" s="166"/>
      <c r="S31" s="141"/>
      <c r="T31" s="621"/>
    </row>
    <row r="32" spans="1:20" ht="40.5" x14ac:dyDescent="0.25">
      <c r="A32" s="621"/>
      <c r="B32" s="141"/>
      <c r="C32" s="163"/>
      <c r="D32" s="164"/>
      <c r="E32" s="785" t="s">
        <v>221</v>
      </c>
      <c r="F32" s="785"/>
      <c r="G32" s="168" t="s">
        <v>214</v>
      </c>
      <c r="H32" s="168" t="s">
        <v>215</v>
      </c>
      <c r="I32" s="168"/>
      <c r="J32" s="168"/>
      <c r="K32" s="615" t="s">
        <v>290</v>
      </c>
      <c r="L32" s="168" t="s">
        <v>216</v>
      </c>
      <c r="M32" s="168" t="s">
        <v>217</v>
      </c>
      <c r="N32" s="785" t="s">
        <v>222</v>
      </c>
      <c r="O32" s="785"/>
      <c r="P32" s="169" t="s">
        <v>203</v>
      </c>
      <c r="Q32" s="170"/>
      <c r="R32" s="170"/>
      <c r="S32" s="141"/>
      <c r="T32" s="621"/>
    </row>
    <row r="33" spans="1:24" ht="22.5" customHeight="1" thickBot="1" x14ac:dyDescent="0.3">
      <c r="A33" s="621"/>
      <c r="B33" s="141"/>
      <c r="C33" s="163">
        <v>1</v>
      </c>
      <c r="D33" s="164"/>
      <c r="E33" s="786"/>
      <c r="F33" s="786"/>
      <c r="G33" s="51"/>
      <c r="H33" s="789">
        <v>0.11</v>
      </c>
      <c r="I33" s="790"/>
      <c r="J33" s="791"/>
      <c r="K33" s="616">
        <v>-0.02</v>
      </c>
      <c r="L33" s="51"/>
      <c r="M33" s="172">
        <f>((E33*(1+G33+(H33+K33)+(G33*(H33+K33))))*(1+L33))/1950</f>
        <v>0</v>
      </c>
      <c r="N33" s="787"/>
      <c r="O33" s="788"/>
      <c r="P33" s="173">
        <f>ROUNDUP(N33*M33,0)</f>
        <v>0</v>
      </c>
      <c r="Q33" s="166"/>
      <c r="R33" s="166"/>
      <c r="S33" s="141"/>
      <c r="T33" s="621"/>
    </row>
    <row r="34" spans="1:24" ht="22.5" customHeight="1" thickTop="1" thickBot="1" x14ac:dyDescent="0.3">
      <c r="A34" s="621"/>
      <c r="B34" s="141"/>
      <c r="C34" s="163">
        <v>2</v>
      </c>
      <c r="D34" s="164"/>
      <c r="E34" s="786"/>
      <c r="F34" s="786"/>
      <c r="G34" s="51"/>
      <c r="H34" s="789">
        <v>0.11</v>
      </c>
      <c r="I34" s="790"/>
      <c r="J34" s="791"/>
      <c r="K34" s="616">
        <v>-0.02</v>
      </c>
      <c r="L34" s="51"/>
      <c r="M34" s="172">
        <f t="shared" ref="M34:M35" si="2">((E34*(1+G34+(H34+K34)+(G34*(H34+K34))))*(1+L34))/1950</f>
        <v>0</v>
      </c>
      <c r="N34" s="787"/>
      <c r="O34" s="788"/>
      <c r="P34" s="173">
        <f t="shared" ref="P34:P35" si="3">ROUNDUP(N34*M34,0)</f>
        <v>0</v>
      </c>
      <c r="Q34" s="166"/>
      <c r="R34" s="166"/>
      <c r="S34" s="141"/>
      <c r="T34" s="621"/>
    </row>
    <row r="35" spans="1:24" ht="22.5" customHeight="1" thickTop="1" thickBot="1" x14ac:dyDescent="0.3">
      <c r="A35" s="621"/>
      <c r="B35" s="141"/>
      <c r="C35" s="163">
        <v>3</v>
      </c>
      <c r="D35" s="164"/>
      <c r="E35" s="786"/>
      <c r="F35" s="786"/>
      <c r="G35" s="51"/>
      <c r="H35" s="789">
        <v>0.11</v>
      </c>
      <c r="I35" s="790"/>
      <c r="J35" s="791"/>
      <c r="K35" s="616">
        <v>-0.02</v>
      </c>
      <c r="L35" s="51"/>
      <c r="M35" s="172">
        <f t="shared" si="2"/>
        <v>0</v>
      </c>
      <c r="N35" s="787"/>
      <c r="O35" s="788"/>
      <c r="P35" s="173">
        <f t="shared" si="3"/>
        <v>0</v>
      </c>
      <c r="Q35" s="166"/>
      <c r="R35" s="166"/>
      <c r="S35" s="141"/>
      <c r="T35" s="621"/>
    </row>
    <row r="36" spans="1:24" ht="15.75" thickTop="1" x14ac:dyDescent="0.25">
      <c r="A36" s="621"/>
      <c r="B36" s="141"/>
      <c r="C36" s="175"/>
      <c r="D36" s="176"/>
      <c r="E36" s="177"/>
      <c r="F36" s="177"/>
      <c r="G36" s="177"/>
      <c r="H36" s="177"/>
      <c r="I36" s="177"/>
      <c r="J36" s="177"/>
      <c r="K36" s="177"/>
      <c r="L36" s="177"/>
      <c r="M36" s="177"/>
      <c r="N36" s="177"/>
      <c r="O36" s="177"/>
      <c r="P36" s="177"/>
      <c r="Q36" s="179"/>
      <c r="R36" s="179"/>
      <c r="S36" s="141"/>
      <c r="T36" s="621"/>
    </row>
    <row r="37" spans="1:24" x14ac:dyDescent="0.25">
      <c r="A37" s="621"/>
      <c r="B37" s="141"/>
      <c r="C37" s="156"/>
      <c r="D37" s="156"/>
      <c r="E37" s="156"/>
      <c r="F37" s="156"/>
      <c r="G37" s="157"/>
      <c r="H37" s="156"/>
      <c r="I37" s="156"/>
      <c r="J37" s="156"/>
      <c r="K37" s="156"/>
      <c r="L37" s="156"/>
      <c r="M37" s="156"/>
      <c r="N37" s="156"/>
      <c r="O37" s="156"/>
      <c r="P37" s="156"/>
      <c r="Q37" s="156"/>
      <c r="R37" s="156"/>
      <c r="S37" s="141"/>
      <c r="T37" s="621"/>
    </row>
    <row r="38" spans="1:24" x14ac:dyDescent="0.25">
      <c r="A38" s="621"/>
      <c r="B38" s="141"/>
      <c r="C38" s="156"/>
      <c r="D38" s="156"/>
      <c r="E38" s="156"/>
      <c r="F38" s="156"/>
      <c r="G38" s="157"/>
      <c r="H38" s="156"/>
      <c r="I38" s="156"/>
      <c r="J38" s="156"/>
      <c r="K38" s="156"/>
      <c r="L38" s="156"/>
      <c r="M38" s="156"/>
      <c r="N38" s="156"/>
      <c r="O38" s="156"/>
      <c r="P38" s="156"/>
      <c r="Q38" s="156"/>
      <c r="R38" s="156"/>
      <c r="S38" s="141"/>
      <c r="T38" s="621"/>
    </row>
    <row r="39" spans="1:24" x14ac:dyDescent="0.25">
      <c r="A39" s="621"/>
      <c r="B39" s="158"/>
      <c r="C39" s="159"/>
      <c r="D39" s="160"/>
      <c r="E39" s="180"/>
      <c r="F39" s="180"/>
      <c r="G39" s="180"/>
      <c r="H39" s="180"/>
      <c r="I39" s="180"/>
      <c r="J39" s="685"/>
      <c r="K39" s="180"/>
      <c r="L39" s="180"/>
      <c r="M39" s="180"/>
      <c r="N39" s="180"/>
      <c r="O39" s="180"/>
      <c r="P39" s="180"/>
      <c r="Q39" s="162"/>
      <c r="R39" s="162"/>
      <c r="S39" s="141"/>
      <c r="T39" s="621"/>
    </row>
    <row r="40" spans="1:24" x14ac:dyDescent="0.25">
      <c r="A40" s="621"/>
      <c r="B40" s="158"/>
      <c r="C40" s="159"/>
      <c r="D40" s="160"/>
      <c r="E40" s="180"/>
      <c r="F40" s="180"/>
      <c r="G40" s="180"/>
      <c r="H40" s="180"/>
      <c r="I40" s="180"/>
      <c r="J40" s="685"/>
      <c r="K40" s="180"/>
      <c r="L40" s="180"/>
      <c r="M40" s="180"/>
      <c r="N40" s="180"/>
      <c r="O40" s="180"/>
      <c r="P40" s="180"/>
      <c r="Q40" s="162"/>
      <c r="R40" s="162"/>
      <c r="S40" s="141"/>
      <c r="T40" s="621"/>
    </row>
    <row r="41" spans="1:24" ht="18.75" customHeight="1" x14ac:dyDescent="0.25">
      <c r="A41" s="621"/>
      <c r="B41" s="158"/>
      <c r="C41" s="181"/>
      <c r="D41" s="681"/>
      <c r="E41" s="684" t="str">
        <f>IF(E42="","Skriv kommentar:","")</f>
        <v>Skriv kommentar:</v>
      </c>
      <c r="F41" s="682"/>
      <c r="G41" s="682"/>
      <c r="H41" s="682"/>
      <c r="I41" s="683"/>
      <c r="J41" s="686"/>
      <c r="K41" s="801" t="str">
        <f>IF(W42&amp;W43="","","⚠️Vi trenger mer informasjon")</f>
        <v/>
      </c>
      <c r="L41" s="802"/>
      <c r="M41" s="802"/>
      <c r="N41" s="803"/>
      <c r="O41" s="167"/>
      <c r="P41" s="672">
        <f>MIN(SUM(P21:P35),30000)</f>
        <v>0</v>
      </c>
      <c r="Q41" s="182"/>
      <c r="R41" s="182"/>
      <c r="S41" s="141"/>
      <c r="T41" s="621"/>
    </row>
    <row r="42" spans="1:24" x14ac:dyDescent="0.25">
      <c r="A42" s="621"/>
      <c r="B42" s="158"/>
      <c r="C42" s="181"/>
      <c r="D42" s="677"/>
      <c r="E42" s="799"/>
      <c r="F42" s="799"/>
      <c r="G42" s="799"/>
      <c r="H42" s="799"/>
      <c r="I42" s="679"/>
      <c r="J42" s="687"/>
      <c r="K42" s="793" t="str">
        <f>_xlfn.TEXTJOIN(CHAR(10)&amp;CHAR(10),TRUE,W42,W43)</f>
        <v/>
      </c>
      <c r="L42" s="794"/>
      <c r="M42" s="794"/>
      <c r="N42" s="795"/>
      <c r="P42" s="792" t="str">
        <f>IF(P41&lt;30000,"","Dere kan søke på maks 30 000 kroner for dette tiltaket.")</f>
        <v/>
      </c>
      <c r="Q42" s="166"/>
      <c r="R42" s="166"/>
      <c r="S42" s="141"/>
      <c r="T42" s="621"/>
      <c r="V42" s="183" t="s">
        <v>128</v>
      </c>
      <c r="W42" s="184" t="str">
        <f>IF(X42&gt;0,IF(W43="","","1. ")&amp;'1 Lønn'!$S$6,"")</f>
        <v/>
      </c>
      <c r="X42" s="127">
        <f>COUNTIFS(K21:K35,0,M21:M35,"&gt;0")</f>
        <v>0</v>
      </c>
    </row>
    <row r="43" spans="1:24" x14ac:dyDescent="0.25">
      <c r="A43" s="621"/>
      <c r="B43" s="158"/>
      <c r="C43" s="181"/>
      <c r="D43" s="677"/>
      <c r="E43" s="799"/>
      <c r="F43" s="799"/>
      <c r="G43" s="799"/>
      <c r="H43" s="799"/>
      <c r="I43" s="679"/>
      <c r="J43" s="687"/>
      <c r="K43" s="793"/>
      <c r="L43" s="794"/>
      <c r="M43" s="794"/>
      <c r="N43" s="795"/>
      <c r="O43" s="673"/>
      <c r="P43" s="792"/>
      <c r="Q43" s="166"/>
      <c r="R43" s="166"/>
      <c r="S43" s="141"/>
      <c r="T43" s="621"/>
      <c r="V43" s="183" t="s">
        <v>127</v>
      </c>
      <c r="W43" s="184" t="str">
        <f>IF(X43&gt;0,IF(X42&gt;0,"2. ","")&amp;'1 Lønn'!$S$5,"")</f>
        <v/>
      </c>
      <c r="X43" s="127">
        <f>COUNTIF(M21:M35,"&gt;"&amp;'1 Lønn'!$R$5)</f>
        <v>0</v>
      </c>
    </row>
    <row r="44" spans="1:24" x14ac:dyDescent="0.25">
      <c r="A44" s="621"/>
      <c r="B44" s="158"/>
      <c r="C44" s="181"/>
      <c r="D44" s="677"/>
      <c r="E44" s="799"/>
      <c r="F44" s="799"/>
      <c r="G44" s="799"/>
      <c r="H44" s="799"/>
      <c r="I44" s="679"/>
      <c r="J44" s="687"/>
      <c r="K44" s="793"/>
      <c r="L44" s="794"/>
      <c r="M44" s="794"/>
      <c r="N44" s="795"/>
      <c r="O44" s="673"/>
      <c r="P44" s="792"/>
      <c r="Q44" s="166"/>
      <c r="R44" s="166"/>
      <c r="S44" s="141"/>
      <c r="T44" s="621"/>
      <c r="V44" s="185"/>
      <c r="W44" s="186"/>
    </row>
    <row r="45" spans="1:24" x14ac:dyDescent="0.25">
      <c r="A45" s="621"/>
      <c r="B45" s="158"/>
      <c r="C45" s="181"/>
      <c r="D45" s="677"/>
      <c r="E45" s="799"/>
      <c r="F45" s="799"/>
      <c r="G45" s="799"/>
      <c r="H45" s="799"/>
      <c r="I45" s="679"/>
      <c r="J45" s="687"/>
      <c r="K45" s="793"/>
      <c r="L45" s="794"/>
      <c r="M45" s="794"/>
      <c r="N45" s="795"/>
      <c r="O45" s="673"/>
      <c r="P45" s="792"/>
      <c r="Q45" s="166"/>
      <c r="R45" s="166"/>
      <c r="S45" s="141"/>
      <c r="T45" s="621"/>
      <c r="V45" s="185"/>
      <c r="W45" s="186"/>
    </row>
    <row r="46" spans="1:24" x14ac:dyDescent="0.25">
      <c r="A46" s="621"/>
      <c r="B46" s="158"/>
      <c r="C46" s="181"/>
      <c r="D46" s="677"/>
      <c r="E46" s="799"/>
      <c r="F46" s="799"/>
      <c r="G46" s="799"/>
      <c r="H46" s="799"/>
      <c r="I46" s="679"/>
      <c r="J46" s="687"/>
      <c r="K46" s="793"/>
      <c r="L46" s="794"/>
      <c r="M46" s="794"/>
      <c r="N46" s="795"/>
      <c r="O46" s="673"/>
      <c r="P46" s="792"/>
      <c r="Q46" s="166"/>
      <c r="R46" s="166"/>
      <c r="S46" s="141"/>
      <c r="T46" s="621"/>
      <c r="V46" s="185"/>
      <c r="W46" s="186"/>
    </row>
    <row r="47" spans="1:24" x14ac:dyDescent="0.25">
      <c r="A47" s="621"/>
      <c r="B47" s="158"/>
      <c r="C47" s="181"/>
      <c r="D47" s="677"/>
      <c r="E47" s="799"/>
      <c r="F47" s="799"/>
      <c r="G47" s="799"/>
      <c r="H47" s="799"/>
      <c r="I47" s="679"/>
      <c r="J47" s="687"/>
      <c r="K47" s="793"/>
      <c r="L47" s="794"/>
      <c r="M47" s="794"/>
      <c r="N47" s="795"/>
      <c r="O47" s="673"/>
      <c r="P47" s="792"/>
      <c r="Q47" s="166"/>
      <c r="R47" s="166"/>
      <c r="S47" s="141"/>
      <c r="T47" s="621"/>
      <c r="V47" s="185"/>
      <c r="W47" s="186"/>
    </row>
    <row r="48" spans="1:24" x14ac:dyDescent="0.25">
      <c r="A48" s="621"/>
      <c r="B48" s="158"/>
      <c r="C48" s="181"/>
      <c r="D48" s="677"/>
      <c r="E48" s="799"/>
      <c r="F48" s="799"/>
      <c r="G48" s="799"/>
      <c r="H48" s="799"/>
      <c r="I48" s="679"/>
      <c r="J48" s="687"/>
      <c r="K48" s="793"/>
      <c r="L48" s="794"/>
      <c r="M48" s="794"/>
      <c r="N48" s="795"/>
      <c r="O48" s="673"/>
      <c r="P48" s="792"/>
      <c r="Q48" s="166"/>
      <c r="R48" s="166"/>
      <c r="S48" s="141"/>
      <c r="T48" s="621"/>
    </row>
    <row r="49" spans="1:23" x14ac:dyDescent="0.25">
      <c r="A49" s="621"/>
      <c r="B49" s="158"/>
      <c r="C49" s="181"/>
      <c r="D49" s="678"/>
      <c r="E49" s="800"/>
      <c r="F49" s="800"/>
      <c r="G49" s="800"/>
      <c r="H49" s="800"/>
      <c r="I49" s="680"/>
      <c r="J49" s="687"/>
      <c r="K49" s="796"/>
      <c r="L49" s="797"/>
      <c r="M49" s="797"/>
      <c r="N49" s="798"/>
      <c r="O49" s="167"/>
      <c r="P49" s="674"/>
      <c r="Q49" s="166"/>
      <c r="R49" s="166"/>
      <c r="S49" s="141"/>
      <c r="T49" s="621"/>
    </row>
    <row r="50" spans="1:23" ht="8.1" customHeight="1" x14ac:dyDescent="0.25">
      <c r="A50" s="621"/>
      <c r="B50" s="141"/>
      <c r="C50" s="193"/>
      <c r="D50" s="194"/>
      <c r="E50" s="195" t="s">
        <v>223</v>
      </c>
      <c r="F50" s="196"/>
      <c r="G50" s="197"/>
      <c r="H50" s="194"/>
      <c r="I50" s="194"/>
      <c r="J50" s="194"/>
      <c r="K50" s="194"/>
      <c r="L50" s="194"/>
      <c r="M50" s="194"/>
      <c r="N50" s="194"/>
      <c r="O50" s="194"/>
      <c r="P50" s="194"/>
      <c r="Q50" s="178"/>
      <c r="R50" s="178"/>
      <c r="S50" s="141"/>
      <c r="T50" s="621"/>
    </row>
    <row r="51" spans="1:23" x14ac:dyDescent="0.25">
      <c r="A51" s="621"/>
      <c r="B51" s="141"/>
      <c r="C51" s="193"/>
      <c r="D51" s="194"/>
      <c r="E51" s="195" t="s">
        <v>223</v>
      </c>
      <c r="F51" s="196"/>
      <c r="G51" s="197"/>
      <c r="H51" s="194"/>
      <c r="I51" s="194"/>
      <c r="J51" s="194"/>
      <c r="K51" s="194"/>
      <c r="L51" s="194"/>
      <c r="M51" s="194"/>
      <c r="N51" s="194"/>
      <c r="O51" s="194"/>
      <c r="P51" s="194"/>
      <c r="Q51" s="178"/>
      <c r="R51" s="178"/>
      <c r="S51" s="141"/>
      <c r="T51" s="621"/>
    </row>
    <row r="52" spans="1:23" customFormat="1" x14ac:dyDescent="0.25">
      <c r="A52" s="621"/>
      <c r="B52" s="141"/>
      <c r="C52" s="163"/>
      <c r="D52" s="740" t="s">
        <v>287</v>
      </c>
      <c r="E52" s="741"/>
      <c r="F52" s="741"/>
      <c r="G52" s="741"/>
      <c r="H52" s="741"/>
      <c r="I52" s="741"/>
      <c r="J52" s="741"/>
      <c r="K52" s="741"/>
      <c r="L52" s="741"/>
      <c r="M52" s="617" t="s">
        <v>288</v>
      </c>
      <c r="N52" s="737" t="s">
        <v>289</v>
      </c>
      <c r="O52" s="737"/>
      <c r="P52" s="737"/>
      <c r="Q52" s="618"/>
      <c r="R52" s="166"/>
      <c r="S52" s="141"/>
      <c r="T52" s="621"/>
      <c r="U52" s="210"/>
      <c r="V52" s="210"/>
      <c r="W52" s="210"/>
    </row>
    <row r="53" spans="1:23" customFormat="1" ht="38.25" customHeight="1" x14ac:dyDescent="0.25">
      <c r="A53" s="621"/>
      <c r="B53" s="141"/>
      <c r="C53" s="163"/>
      <c r="D53" s="619"/>
      <c r="E53" s="742"/>
      <c r="F53" s="742"/>
      <c r="G53" s="742"/>
      <c r="H53" s="742"/>
      <c r="I53" s="742"/>
      <c r="J53" s="742"/>
      <c r="K53" s="742"/>
      <c r="L53" s="743"/>
      <c r="M53" s="717"/>
      <c r="N53" s="783"/>
      <c r="O53" s="742"/>
      <c r="P53" s="742"/>
      <c r="Q53" s="620"/>
      <c r="R53" s="166"/>
      <c r="S53" s="141"/>
      <c r="T53" s="621"/>
      <c r="U53" s="210"/>
      <c r="V53" s="210"/>
      <c r="W53" s="210"/>
    </row>
    <row r="54" spans="1:23" x14ac:dyDescent="0.25">
      <c r="A54" s="621"/>
      <c r="B54" s="141"/>
      <c r="C54" s="193"/>
      <c r="D54" s="194"/>
      <c r="E54" s="195" t="s">
        <v>223</v>
      </c>
      <c r="F54" s="196"/>
      <c r="G54" s="197"/>
      <c r="H54" s="194"/>
      <c r="I54" s="194"/>
      <c r="J54" s="194"/>
      <c r="K54" s="194"/>
      <c r="L54" s="194"/>
      <c r="M54" s="194"/>
      <c r="N54" s="194"/>
      <c r="O54" s="194"/>
      <c r="P54" s="194"/>
      <c r="Q54" s="178"/>
      <c r="R54" s="178"/>
      <c r="S54" s="141"/>
      <c r="T54" s="621"/>
    </row>
    <row r="55" spans="1:23" x14ac:dyDescent="0.25">
      <c r="A55" s="621"/>
      <c r="B55" s="141"/>
      <c r="C55" s="141"/>
      <c r="D55" s="141"/>
      <c r="E55" s="141"/>
      <c r="F55" s="141"/>
      <c r="G55" s="198"/>
      <c r="H55" s="141"/>
      <c r="I55" s="141"/>
      <c r="J55" s="141"/>
      <c r="K55" s="141"/>
      <c r="L55" s="141"/>
      <c r="M55" s="141"/>
      <c r="N55" s="141"/>
      <c r="O55" s="141"/>
      <c r="P55" s="141"/>
      <c r="Q55" s="141"/>
      <c r="R55" s="141"/>
      <c r="S55" s="141"/>
      <c r="T55" s="621"/>
    </row>
    <row r="56" spans="1:23" ht="6" customHeight="1" x14ac:dyDescent="0.25">
      <c r="A56" s="621"/>
      <c r="B56" s="121"/>
      <c r="C56" s="121"/>
      <c r="D56" s="121"/>
      <c r="E56" s="121"/>
      <c r="F56" s="121"/>
      <c r="G56" s="124"/>
      <c r="H56" s="121"/>
      <c r="I56" s="121"/>
      <c r="J56" s="121"/>
      <c r="K56" s="121"/>
      <c r="L56" s="121"/>
      <c r="M56" s="121"/>
      <c r="N56" s="121"/>
      <c r="O56" s="121"/>
      <c r="P56" s="121"/>
      <c r="Q56" s="121"/>
      <c r="R56" s="121"/>
      <c r="S56" s="121"/>
      <c r="T56" s="621"/>
    </row>
  </sheetData>
  <sheetProtection algorithmName="SHA-512" hashValue="+YA7s9//Sp1ZC8E7qc8/DUe0V4ugRfTSGITKom+KXh+1u5DyS1x9Mt5gcIxxCKlX3wGBcZyCpaBFkG5Rso3gtw==" saltValue="wPONyWZk5qNRTknCGkNRMA==" spinCount="100000" sheet="1" objects="1" scenarios="1"/>
  <mergeCells count="27">
    <mergeCell ref="D7:L12"/>
    <mergeCell ref="M7:P12"/>
    <mergeCell ref="E32:F32"/>
    <mergeCell ref="E35:F35"/>
    <mergeCell ref="N33:O33"/>
    <mergeCell ref="N35:O35"/>
    <mergeCell ref="N32:O32"/>
    <mergeCell ref="H21:J21"/>
    <mergeCell ref="H22:J22"/>
    <mergeCell ref="H23:J23"/>
    <mergeCell ref="H24:J24"/>
    <mergeCell ref="H25:J25"/>
    <mergeCell ref="H33:J33"/>
    <mergeCell ref="H34:J34"/>
    <mergeCell ref="E34:F34"/>
    <mergeCell ref="N34:O34"/>
    <mergeCell ref="N52:P52"/>
    <mergeCell ref="N53:P53"/>
    <mergeCell ref="D52:L52"/>
    <mergeCell ref="E53:L53"/>
    <mergeCell ref="H13:L13"/>
    <mergeCell ref="E33:F33"/>
    <mergeCell ref="P42:P48"/>
    <mergeCell ref="K42:N49"/>
    <mergeCell ref="E42:H49"/>
    <mergeCell ref="H35:J35"/>
    <mergeCell ref="K41:N41"/>
  </mergeCells>
  <phoneticPr fontId="6" type="noConversion"/>
  <conditionalFormatting sqref="F1:F4">
    <cfRule type="expression" dxfId="34" priority="12">
      <formula>F1=0</formula>
    </cfRule>
  </conditionalFormatting>
  <conditionalFormatting sqref="K21:K25">
    <cfRule type="expression" dxfId="33" priority="3">
      <formula>AND(K21=0,M21&gt;0)</formula>
    </cfRule>
  </conditionalFormatting>
  <conditionalFormatting sqref="K33:K35">
    <cfRule type="expression" dxfId="32" priority="2">
      <formula>AND(K33=0,M33&gt;0)</formula>
    </cfRule>
  </conditionalFormatting>
  <conditionalFormatting sqref="K41:N49">
    <cfRule type="cellIs" dxfId="31" priority="1" operator="equal">
      <formula>""</formula>
    </cfRule>
  </conditionalFormatting>
  <conditionalFormatting sqref="L1:L4">
    <cfRule type="expression" dxfId="30" priority="13">
      <formula>L1=$T$8</formula>
    </cfRule>
    <cfRule type="expression" dxfId="29" priority="14">
      <formula>LEFT(L1,14)=$T$7</formula>
    </cfRule>
    <cfRule type="expression" dxfId="28" priority="15">
      <formula>L1="*utregnes automatisk"</formula>
    </cfRule>
  </conditionalFormatting>
  <conditionalFormatting sqref="M7">
    <cfRule type="expression" dxfId="27" priority="9">
      <formula>M7=$W$9</formula>
    </cfRule>
    <cfRule type="expression" dxfId="26" priority="10">
      <formula>LEFT(M7,14)=$U$9</formula>
    </cfRule>
    <cfRule type="expression" dxfId="25" priority="11">
      <formula>M7="*utregnes automatisk"</formula>
    </cfRule>
  </conditionalFormatting>
  <dataValidations count="5">
    <dataValidation type="whole" operator="greaterThanOrEqual" allowBlank="1" showInputMessage="1" showErrorMessage="1" errorTitle="Ugyldig verdi" error="Antall ansatte må kun være tall og minst 1. " promptTitle="Antall deltakere" prompt="Oppgi hvor mange deltakere denne beregningen gjelder for." sqref="E21:E25" xr:uid="{ED4F3326-791A-45CF-A25F-97B2F80BB0D3}">
      <formula1>1</formula1>
    </dataValidation>
    <dataValidation type="whole" operator="greaterThanOrEqual" allowBlank="1" showInputMessage="1" promptTitle="Årslønn" prompt="Skriv den ansattes årslønn (grunnlønn). Gjelder utregningen flere ansatte, oppgir du gjennomsnittet av årslønnene. _x000a__x000a_Selv om den ansatte jobber deltid, skal du oppgi årslønn for full stilling._x000a_" sqref="F21:F25" xr:uid="{677DE715-8876-447F-9590-EC28B197AC1C}">
      <formula1>0</formula1>
    </dataValidation>
    <dataValidation type="list" errorStyle="information" operator="lessThanOrEqual" allowBlank="1" showInputMessage="1" errorTitle="Ugyldig verdig" error="fdfdfd" promptTitle="sats pensjon" prompt="Grunnpremie for pensjon dekkes med 11 %" sqref="H22:H25" xr:uid="{76F73B83-57F0-401D-BBDC-9960DB097743}">
      <formula1>"11%,9%"</formula1>
    </dataValidation>
    <dataValidation type="list" allowBlank="1" showInputMessage="1" showErrorMessage="1" errorTitle="Ugyldig verdi" error="Feriepengersatsen må være 12% eller 14,2% av feriepengegrunnlaget. _x000a__x000a_Velg fra nedtrekksmenyen." promptTitle="ansattes egenandel for pensjon" prompt="Ansattes egenandel for grunnpremien er normalt 2 %. _x000a__x000a_Sett prosenten til 0 % dersom arbeidsgiver ikke trekker egenandel fra lønnen, og legg inn en kommentar om dette i feltet under._x000a_" sqref="K21:K25 K33:K35" xr:uid="{6E14A149-5CA7-403E-8611-B0412F18FEC0}">
      <formula1>"0%,-2%"</formula1>
    </dataValidation>
    <dataValidation errorStyle="information" operator="lessThanOrEqual" allowBlank="1" showInputMessage="1" errorTitle="Ugyldig verdig" error="fdfdfd" promptTitle="sats pensjon" prompt="Grunnpremie for pensjon dekkes med 11 %" sqref="H21:J21 H33:J35" xr:uid="{80255901-733F-4C2E-8354-C49D2D3D6798}"/>
  </dataValidations>
  <pageMargins left="0.70866141732283472" right="0.70866141732283472" top="0.74803149606299213" bottom="0.74803149606299213" header="0.31496062992125984" footer="0.31496062992125984"/>
  <pageSetup paperSize="9" scale="60" orientation="portrait" r:id="rId1"/>
  <extLst>
    <ext xmlns:x14="http://schemas.microsoft.com/office/spreadsheetml/2009/9/main" uri="{78C0D931-6437-407d-A8EE-F0AAD7539E65}">
      <x14:conditionalFormattings>
        <x14:conditionalFormatting xmlns:xm="http://schemas.microsoft.com/office/excel/2006/main">
          <x14:cfRule type="expression" priority="187" id="{D6CEF090-1031-45D8-A765-EF71F9956402}">
            <xm:f>M21&gt;'1 Lønn'!$R$5</xm:f>
            <x14:dxf>
              <font>
                <b val="0"/>
                <i val="0"/>
                <strike val="0"/>
                <color rgb="FFF15540"/>
              </font>
            </x14:dxf>
          </x14:cfRule>
          <xm:sqref>M21:M25 M33:M35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errorTitle="Ugyldig verdi" error="Feriepengersatsen må være 12% eller 14,2% av feriepengegrunnlaget. _x000a__x000a_Velg fra nedtrekksmenyen." promptTitle="Feriepenger" prompt="_x000a_Velg 12 eller 14,3 % av feriepengegrunnlaget. _x000a__x000a_Det vanligste er 12 %. 14,3 % brukes for ansatte over 60 år. Denne gruppen har rett på av 14,3 % av feriepengegrunnlaget ved seks ukers ferie." xr:uid="{27C42D2E-1200-4C27-B257-F3E514E5F8D9}">
          <x14:formula1>
            <xm:f>Innstillinger!$B$67:$B$69</xm:f>
          </x14:formula1>
          <xm:sqref>G22:G25 G34:G35</xm:sqref>
        </x14:dataValidation>
        <x14:dataValidation type="list" allowBlank="1" showInputMessage="1" showErrorMessage="1" errorTitle="Ugyldig verdi" error="Velg riktig sats fra nedtrekksmenyen._x000a__x000a_Sone   Sats _x000a_I           14,1 %_x000a_II          10,6 %_x000a_III           6,4 %_x000a_IV           5,1 %_x000a_IVa         7,9 %_x000a_V            0,0 %_x000a_" promptTitle="Arbeidsgiveravgift" prompt="_x000a_Oppgi satsen for arbeidsgiveravgift for din kommune. Arbeidsgiveravgiften er regionalt differensiert og fastsettes av Stortinget hvert år. _x000a__x000a_Klikk på linken til venstre for å finne riktig arbeidsgiveravgift for din kommune._x000a_" xr:uid="{BF059ED4-AC2D-43E0-9B0E-FD6DCBA85C2A}">
          <x14:formula1>
            <xm:f>Innstillinger!$B$57:$B$63</xm:f>
          </x14:formula1>
          <xm:sqref>L22:L25 L34:L35</xm:sqref>
        </x14:dataValidation>
        <x14:dataValidation type="list" allowBlank="1" showInputMessage="1" showErrorMessage="1" errorTitle="Ugyldig verdi" error="Feriepengersatsen må være 12% eller 14,2% av feriepengegrunnlaget. _x000a__x000a_Velg fra nedtrekksmenyen." promptTitle="Feriepenger" prompt="Velg &quot;12 %&quot; eller &quot;14,3 %&quot; - feriepengegrunnlag. _x000a__x000a_Det vanligste er 12 %. 14,3 % brukes for ansatte over 60 år. Denne gruppen har rett på av 14,3 % av feriepengegrunnlaget ved seks ukers ferie." xr:uid="{461515B1-49B0-41DC-87A1-CB5765A70541}">
          <x14:formula1>
            <xm:f>Innstillinger!$B$67:$B$69</xm:f>
          </x14:formula1>
          <xm:sqref>G21 G33</xm:sqref>
        </x14:dataValidation>
        <x14:dataValidation type="list" allowBlank="1" showInputMessage="1" showErrorMessage="1" errorTitle="Ugyldig verdi" error="Velg riktig sats fra nedtrekksmenyen._x000a__x000a_Sone   Sats _x000a_I           14,1 %_x000a_II          10,6 %_x000a_III           6,4 %_x000a_IV           5,1 %_x000a_IVa         7,9 %_x000a_V            0,0 %_x000a_" promptTitle="Arbeidsgiveravgift" prompt="Oppgi satsen for arbeidsgiveravgift for din kommune. Arbeidsgiveravgiften er regionalt differensiert og fastsettes av Stortinget hvert år. _x000a__x000a_Klikk på linken til venstre for å finne riktig arbeidsgiveravgift for din kommune._x000a_" xr:uid="{EEC52052-F6F3-4BA0-8B85-7983BB491B43}">
          <x14:formula1>
            <xm:f>Innstillinger!$B$57:$B$63</xm:f>
          </x14:formula1>
          <xm:sqref>L21 L33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F2F49BDC746C4C418067610B745AD0CD" ma:contentTypeVersion="20" ma:contentTypeDescription="Opprett et nytt dokument." ma:contentTypeScope="" ma:versionID="c46ba890c5f0525de3cfd5a58046c02a">
  <xsd:schema xmlns:xsd="http://www.w3.org/2001/XMLSchema" xmlns:xs="http://www.w3.org/2001/XMLSchema" xmlns:p="http://schemas.microsoft.com/office/2006/metadata/properties" xmlns:ns2="c7597926-a812-4ee7-a13b-320962d63a84" xmlns:ns3="8f518240-5ef8-49a2-b90b-6951a90012b0" targetNamespace="http://schemas.microsoft.com/office/2006/metadata/properties" ma:root="true" ma:fieldsID="f3abe8b11e18ae478c2946ba4ca1b856" ns2:_="" ns3:_="">
    <xsd:import namespace="c7597926-a812-4ee7-a13b-320962d63a84"/>
    <xsd:import namespace="8f518240-5ef8-49a2-b90b-6951a90012b0"/>
    <xsd:element name="properties">
      <xsd:complexType>
        <xsd:sequence>
          <xsd:element name="documentManagement">
            <xsd:complexType>
              <xsd:all>
                <xsd:element ref="ns2:k5c859c16646455f964b4972598052bc" minOccurs="0"/>
                <xsd:element ref="ns2:TaxCatchAll" minOccurs="0"/>
                <xsd:element ref="ns2:cfa1b03326bb4579bc4688365bca5b1a" minOccurs="0"/>
                <xsd:element ref="ns2:SharedWithUsers" minOccurs="0"/>
                <xsd:element ref="ns2:SharedWithDetails" minOccurs="0"/>
                <xsd:element ref="ns3:MediaServiceMetadata" minOccurs="0"/>
                <xsd:element ref="ns3:MediaServiceFastMetadata" minOccurs="0"/>
                <xsd:element ref="ns3:Kategori" minOccurs="0"/>
                <xsd:element ref="ns3:MediaServiceDateTaken" minOccurs="0"/>
                <xsd:element ref="ns3:MediaServiceAutoKeyPoints" minOccurs="0"/>
                <xsd:element ref="ns3:MediaServiceKeyPoints" minOccurs="0"/>
                <xsd:element ref="ns3:MediaServiceAutoTags" minOccurs="0"/>
                <xsd:element ref="ns3:MediaLengthInSeconds" minOccurs="0"/>
                <xsd:element ref="ns3:MediaServiceOCR" minOccurs="0"/>
                <xsd:element ref="ns3:MediaServiceGenerationTime" minOccurs="0"/>
                <xsd:element ref="ns3:MediaServiceEventHashCode"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597926-a812-4ee7-a13b-320962d63a84" elementFormDefault="qualified">
    <xsd:import namespace="http://schemas.microsoft.com/office/2006/documentManagement/types"/>
    <xsd:import namespace="http://schemas.microsoft.com/office/infopath/2007/PartnerControls"/>
    <xsd:element name="k5c859c16646455f964b4972598052bc" ma:index="8" nillable="true" ma:taxonomy="true" ma:internalName="k5c859c16646455f964b4972598052bc" ma:taxonomyFieldName="Imdi_Hovedtema" ma:displayName="Hovedtema" ma:default="1;#Tilskudd|f58e6203-f7c4-4e7f-8352-d9dc047e4893" ma:fieldId="{45c859c1-6646-455f-964b-4972598052bc}" ma:sspId="ecaa4f8c-f6fd-428c-ac8d-6534732d151d" ma:termSetId="c082be91-6f98-45f6-9e06-68a504b1841d"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e1d5595a-5a69-477a-90c5-c3b2d66fda59}" ma:internalName="TaxCatchAll" ma:showField="CatchAllData" ma:web="c7597926-a812-4ee7-a13b-320962d63a84">
      <xsd:complexType>
        <xsd:complexContent>
          <xsd:extension base="dms:MultiChoiceLookup">
            <xsd:sequence>
              <xsd:element name="Value" type="dms:Lookup" maxOccurs="unbounded" minOccurs="0" nillable="true"/>
            </xsd:sequence>
          </xsd:extension>
        </xsd:complexContent>
      </xsd:complexType>
    </xsd:element>
    <xsd:element name="cfa1b03326bb4579bc4688365bca5b1a" ma:index="11" nillable="true" ma:taxonomy="true" ma:internalName="cfa1b03326bb4579bc4688365bca5b1a" ma:taxonomyFieldName="Imdi_Dokumenttype" ma:displayName="Dokumenttype" ma:default="" ma:fieldId="{cfa1b033-26bb-4579-bc46-88365bca5b1a}" ma:sspId="ecaa4f8c-f6fd-428c-ac8d-6534732d151d" ma:termSetId="7c17226c-02ff-441e-b4ff-b9697f01242e" ma:anchorId="00000000-0000-0000-0000-000000000000" ma:open="false" ma:isKeyword="false">
      <xsd:complexType>
        <xsd:sequence>
          <xsd:element ref="pc:Terms" minOccurs="0" maxOccurs="1"/>
        </xsd:sequence>
      </xsd:complexType>
    </xsd:element>
    <xsd:element name="SharedWithUsers" ma:index="13"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lingsdetaljer"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f518240-5ef8-49a2-b90b-6951a90012b0"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Kategori" ma:index="17" nillable="true" ma:displayName="Kategori" ma:format="Dropdown" ma:internalName="Kategori">
      <xsd:simpleType>
        <xsd:restriction base="dms:Choice">
          <xsd:enumeration value="Forbedringsaktiviteter"/>
          <xsd:enumeration value="Opplæring"/>
          <xsd:enumeration value="Tavlemøter"/>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AutoTags" ma:index="21" nillable="true" ma:displayName="Tags" ma:internalName="MediaServiceAutoTag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k5c859c16646455f964b4972598052bc xmlns="c7597926-a812-4ee7-a13b-320962d63a84">
      <Terms xmlns="http://schemas.microsoft.com/office/infopath/2007/PartnerControls">
        <TermInfo xmlns="http://schemas.microsoft.com/office/infopath/2007/PartnerControls">
          <TermName xmlns="http://schemas.microsoft.com/office/infopath/2007/PartnerControls">Tilskudd</TermName>
          <TermId xmlns="http://schemas.microsoft.com/office/infopath/2007/PartnerControls">f58e6203-f7c4-4e7f-8352-d9dc047e4893</TermId>
        </TermInfo>
      </Terms>
    </k5c859c16646455f964b4972598052bc>
    <TaxCatchAll xmlns="c7597926-a812-4ee7-a13b-320962d63a84">
      <Value>1</Value>
    </TaxCatchAll>
    <cfa1b03326bb4579bc4688365bca5b1a xmlns="c7597926-a812-4ee7-a13b-320962d63a84">
      <Terms xmlns="http://schemas.microsoft.com/office/infopath/2007/PartnerControls"/>
    </cfa1b03326bb4579bc4688365bca5b1a>
    <Kategori xmlns="8f518240-5ef8-49a2-b90b-6951a90012b0" xsi:nil="true"/>
  </documentManagement>
</p:properties>
</file>

<file path=customXml/itemProps1.xml><?xml version="1.0" encoding="utf-8"?>
<ds:datastoreItem xmlns:ds="http://schemas.openxmlformats.org/officeDocument/2006/customXml" ds:itemID="{BF28B461-F411-4AFB-A4A7-E5C022682BDB}">
  <ds:schemaRefs>
    <ds:schemaRef ds:uri="http://schemas.microsoft.com/sharepoint/v3/contenttype/forms"/>
  </ds:schemaRefs>
</ds:datastoreItem>
</file>

<file path=customXml/itemProps2.xml><?xml version="1.0" encoding="utf-8"?>
<ds:datastoreItem xmlns:ds="http://schemas.openxmlformats.org/officeDocument/2006/customXml" ds:itemID="{9048FC01-42AC-43E3-B039-F448F46F75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597926-a812-4ee7-a13b-320962d63a84"/>
    <ds:schemaRef ds:uri="8f518240-5ef8-49a2-b90b-6951a90012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90920E0-9EF3-4C27-A822-B76BDC8E5A01}">
  <ds:schemaRefs>
    <ds:schemaRef ds:uri="http://purl.org/dc/terms/"/>
    <ds:schemaRef ds:uri="http://schemas.microsoft.com/office/2006/documentManagement/types"/>
    <ds:schemaRef ds:uri="http://purl.org/dc/dcmitype/"/>
    <ds:schemaRef ds:uri="http://schemas.openxmlformats.org/package/2006/metadata/core-properties"/>
    <ds:schemaRef ds:uri="http://purl.org/dc/elements/1.1/"/>
    <ds:schemaRef ds:uri="http://www.w3.org/XML/1998/namespace"/>
    <ds:schemaRef ds:uri="c7597926-a812-4ee7-a13b-320962d63a84"/>
    <ds:schemaRef ds:uri="http://schemas.microsoft.com/office/infopath/2007/PartnerControls"/>
    <ds:schemaRef ds:uri="8f518240-5ef8-49a2-b90b-6951a90012b0"/>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10</vt:i4>
      </vt:variant>
      <vt:variant>
        <vt:lpstr>Navngitte områder</vt:lpstr>
      </vt:variant>
      <vt:variant>
        <vt:i4>27</vt:i4>
      </vt:variant>
    </vt:vector>
  </HeadingPairs>
  <TitlesOfParts>
    <vt:vector size="37" baseType="lpstr">
      <vt:lpstr>Veileder</vt:lpstr>
      <vt:lpstr>Begrepsliste</vt:lpstr>
      <vt:lpstr>Oppsummering</vt:lpstr>
      <vt:lpstr>1 Lønn</vt:lpstr>
      <vt:lpstr>2 Lønn med undervisningstid</vt:lpstr>
      <vt:lpstr>3 Godtgjørelser</vt:lpstr>
      <vt:lpstr>4 Egenandel</vt:lpstr>
      <vt:lpstr>5 Fakturabaserte kostnader</vt:lpstr>
      <vt:lpstr>6 Ansvarsgruppemøter</vt:lpstr>
      <vt:lpstr>Innstillinger</vt:lpstr>
      <vt:lpstr>AGA</vt:lpstr>
      <vt:lpstr>Beredskapshjem</vt:lpstr>
      <vt:lpstr>Besøksjem</vt:lpstr>
      <vt:lpstr>Før2022</vt:lpstr>
      <vt:lpstr>Grunnstøtte</vt:lpstr>
      <vt:lpstr>Institusjon</vt:lpstr>
      <vt:lpstr>Lønn</vt:lpstr>
      <vt:lpstr>MST_FFT</vt:lpstr>
      <vt:lpstr>Område</vt:lpstr>
      <vt:lpstr>Sone</vt:lpstr>
      <vt:lpstr>Trinn</vt:lpstr>
      <vt:lpstr>'1 Lønn'!Utskriftsområde</vt:lpstr>
      <vt:lpstr>'2 Lønn med undervisningstid'!Utskriftsområde</vt:lpstr>
      <vt:lpstr>'3 Godtgjørelser'!Utskriftsområde</vt:lpstr>
      <vt:lpstr>'4 Egenandel'!Utskriftsområde</vt:lpstr>
      <vt:lpstr>'5 Fakturabaserte kostnader'!Utskriftsområde</vt:lpstr>
      <vt:lpstr>'6 Ansvarsgruppemøter'!Utskriftsområde</vt:lpstr>
      <vt:lpstr>Begrepsliste!Utskriftsområde</vt:lpstr>
      <vt:lpstr>Oppsummering!Utskriftsområde</vt:lpstr>
      <vt:lpstr>'1 Lønn'!Utskriftstitler</vt:lpstr>
      <vt:lpstr>'2 Lønn med undervisningstid'!Utskriftstitler</vt:lpstr>
      <vt:lpstr>'3 Godtgjørelser'!Utskriftstitler</vt:lpstr>
      <vt:lpstr>'4 Egenandel'!Utskriftstitler</vt:lpstr>
      <vt:lpstr>'5 Fakturabaserte kostnader'!Utskriftstitler</vt:lpstr>
      <vt:lpstr>'6 Ansvarsgruppemøter'!Utskriftstitler</vt:lpstr>
      <vt:lpstr>Begrepsliste!Utskriftstitler</vt:lpstr>
      <vt:lpstr>Årsramme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Caryll Nordli</dc:creator>
  <cp:keywords/>
  <dc:description/>
  <cp:lastModifiedBy>Caryll Nordli</cp:lastModifiedBy>
  <cp:revision/>
  <cp:lastPrinted>2025-09-25T18:53:53Z</cp:lastPrinted>
  <dcterms:created xsi:type="dcterms:W3CDTF">2024-08-19T13:11:21Z</dcterms:created>
  <dcterms:modified xsi:type="dcterms:W3CDTF">2025-09-26T08:13:22Z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0x010100F2F49BDC746C4C418067610B745AD0CD</vt:lpwstr>
  </property>
  <property fmtid="{D5CDD505-2E9C-101B-9397-08002B2CF9AE}" pid="3" name="Imdi_Hovedtema">
    <vt:lpwstr>1;#Tilskudd|f58e6203-f7c4-4e7f-8352-d9dc047e4893</vt:lpwstr>
  </property>
  <property fmtid="{D5CDD505-2E9C-101B-9397-08002B2CF9AE}" pid="4" name="Imdi_Dokumenttype">
    <vt:lpwstr/>
  </property>
</Properties>
</file>